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01" firstSheet="37" activeTab="37"/>
  </bookViews>
  <sheets>
    <sheet name="分乡镇" sheetId="1" state="hidden" r:id="rId1"/>
    <sheet name="分部门" sheetId="2" state="hidden" r:id="rId2"/>
    <sheet name="Sheet3" sheetId="3" state="hidden" r:id="rId3"/>
    <sheet name="Sheet1" sheetId="4" state="hidden" r:id="rId4"/>
    <sheet name="5.31" sheetId="6" state="hidden" r:id="rId5"/>
    <sheet name="6.15" sheetId="5" state="hidden" r:id="rId6"/>
    <sheet name="Sheet2" sheetId="7" state="hidden" r:id="rId7"/>
    <sheet name="Sheet4" sheetId="8" state="hidden" r:id="rId8"/>
    <sheet name="Sheet5" sheetId="9" state="hidden" r:id="rId9"/>
    <sheet name="Sheet6" sheetId="10" state="hidden" r:id="rId10"/>
    <sheet name="6.25" sheetId="11" state="hidden" r:id="rId11"/>
    <sheet name="6.26" sheetId="12" state="hidden" r:id="rId12"/>
    <sheet name="6.27" sheetId="13" state="hidden" r:id="rId13"/>
    <sheet name="6.27-2" sheetId="14" state="hidden" r:id="rId14"/>
    <sheet name="6.28" sheetId="15" state="hidden" r:id="rId15"/>
    <sheet name="3.19" sheetId="35" state="hidden" r:id="rId16"/>
    <sheet name="4.29" sheetId="37" state="hidden" r:id="rId17"/>
    <sheet name="5.17" sheetId="38" state="hidden" r:id="rId18"/>
    <sheet name="5.20" sheetId="39" state="hidden" r:id="rId19"/>
    <sheet name="5.21" sheetId="40" state="hidden" r:id="rId20"/>
    <sheet name="5.28" sheetId="41" state="hidden" r:id="rId21"/>
    <sheet name="5.30" sheetId="42" state="hidden" r:id="rId22"/>
    <sheet name="6.14" sheetId="43" state="hidden" r:id="rId23"/>
    <sheet name="7.9" sheetId="45" state="hidden" r:id="rId24"/>
    <sheet name="7.11" sheetId="46" state="hidden" r:id="rId25"/>
    <sheet name="7.17" sheetId="47" state="hidden" r:id="rId26"/>
    <sheet name="8.2" sheetId="48" state="hidden" r:id="rId27"/>
    <sheet name="8.8" sheetId="50" state="hidden" r:id="rId28"/>
    <sheet name="8.13" sheetId="51" state="hidden" r:id="rId29"/>
    <sheet name="8.22" sheetId="52" state="hidden" r:id="rId30"/>
    <sheet name="9.18" sheetId="53" state="hidden" r:id="rId31"/>
    <sheet name="东西部协作资金" sheetId="49" state="hidden" r:id="rId32"/>
    <sheet name="财政专项扶贫12.5 (2)" sheetId="76" state="hidden" r:id="rId33"/>
    <sheet name="整合涉农资金12.5 (3)" sheetId="78" state="hidden" r:id="rId34"/>
    <sheet name="总表12月 (2)" sheetId="107" state="hidden" r:id="rId35"/>
    <sheet name="3月31日（2021年）" sheetId="108" state="hidden" r:id="rId36"/>
    <sheet name="Sheet7" sheetId="110" state="hidden" r:id="rId37"/>
    <sheet name="宁县2022年度财政衔接补助资金项目完成情况" sheetId="139" r:id="rId38"/>
    <sheet name="9月 (明细) (2)" sheetId="98" state="hidden" r:id="rId39"/>
  </sheets>
  <definedNames>
    <definedName name="_xlnm._FilterDatabase" localSheetId="35" hidden="1">'3月31日（2021年）'!$A$1:$Q$21</definedName>
    <definedName name="_xlnm._FilterDatabase" localSheetId="37" hidden="1">宁县2022年度财政衔接补助资金项目完成情况!$A$1:$J$56</definedName>
    <definedName name="_xlnm._FilterDatabase" localSheetId="38" hidden="1">'9月 (明细) (2)'!$A$1:$P$20</definedName>
    <definedName name="_xlnm._FilterDatabase" localSheetId="15" hidden="1">'3.19'!$D$6:$P$31</definedName>
    <definedName name="_xlnm.Print_Titles" localSheetId="15">'3.19'!$1:$5</definedName>
    <definedName name="_xlnm._FilterDatabase" localSheetId="16" hidden="1">'4.29'!$D$6:$P$31</definedName>
    <definedName name="_xlnm.Print_Titles" localSheetId="16">'4.29'!$1:$5</definedName>
    <definedName name="_xlnm._FilterDatabase" localSheetId="17" hidden="1">'5.17'!$D$6:$P$32</definedName>
    <definedName name="_xlnm.Print_Titles" localSheetId="17">'5.17'!$1:$5</definedName>
    <definedName name="_xlnm._FilterDatabase" localSheetId="18" hidden="1">'5.20'!$D$6:$P$39</definedName>
    <definedName name="_xlnm.Print_Titles" localSheetId="18">'5.20'!$1:$5</definedName>
    <definedName name="_xlnm._FilterDatabase" localSheetId="19" hidden="1">'5.21'!$D$6:$P$39</definedName>
    <definedName name="_xlnm.Print_Titles" localSheetId="19">'5.21'!$1:$5</definedName>
    <definedName name="_xlnm._FilterDatabase" localSheetId="20" hidden="1">'5.28'!$D$6:$P$39</definedName>
    <definedName name="_xlnm.Print_Titles" localSheetId="20">'5.28'!$1:$5</definedName>
    <definedName name="_xlnm._FilterDatabase" localSheetId="21" hidden="1">'5.30'!$D$6:$P$48</definedName>
    <definedName name="_xlnm.Print_Titles" localSheetId="21">'5.30'!$1:$5</definedName>
    <definedName name="_xlnm._FilterDatabase" localSheetId="22" hidden="1">'6.14'!$D$6:$P$48</definedName>
    <definedName name="_xlnm.Print_Titles" localSheetId="22">'6.14'!$1:$5</definedName>
    <definedName name="_xlnm._FilterDatabase" localSheetId="23" hidden="1">'7.9'!$D$6:$P$48</definedName>
    <definedName name="_xlnm.Print_Titles" localSheetId="23">'7.9'!$1:$5</definedName>
    <definedName name="_xlnm._FilterDatabase" localSheetId="24" hidden="1">'7.11'!$D$6:$P$48</definedName>
    <definedName name="_xlnm.Print_Titles" localSheetId="24">'7.11'!$1:$5</definedName>
    <definedName name="_xlnm._FilterDatabase" localSheetId="25" hidden="1">'7.17'!$D$6:$P$48</definedName>
    <definedName name="_xlnm.Print_Titles" localSheetId="25">'7.17'!$1:$5</definedName>
    <definedName name="_xlnm._FilterDatabase" localSheetId="26" hidden="1">'8.2'!$D$6:$P$47</definedName>
    <definedName name="_xlnm.Print_Titles" localSheetId="26">'8.2'!$1:$5</definedName>
    <definedName name="_xlnm._FilterDatabase" localSheetId="31" hidden="1">东西部协作资金!$D$6:$P$18</definedName>
    <definedName name="_xlnm.Print_Titles" localSheetId="31">东西部协作资金!$1:$5</definedName>
    <definedName name="_xlnm._FilterDatabase" localSheetId="27" hidden="1">'8.8'!$D$6:$P$47</definedName>
    <definedName name="_xlnm.Print_Titles" localSheetId="27">'8.8'!$1:$5</definedName>
    <definedName name="_xlnm._FilterDatabase" localSheetId="28" hidden="1">'8.13'!$D$6:$P$47</definedName>
    <definedName name="_xlnm.Print_Titles" localSheetId="28">'8.13'!$1:$5</definedName>
    <definedName name="_xlnm._FilterDatabase" localSheetId="29" hidden="1">'8.22'!$D$6:$P$47</definedName>
    <definedName name="_xlnm.Print_Titles" localSheetId="29">'8.22'!$1:$5</definedName>
    <definedName name="_xlnm._FilterDatabase" localSheetId="30" hidden="1">'9.18'!$D$6:$P$68</definedName>
    <definedName name="_xlnm.Print_Titles" localSheetId="30">'9.18'!$1:$5</definedName>
    <definedName name="_xlnm.Print_Titles" localSheetId="32">'财政专项扶贫12.5 (2)'!$1:$4</definedName>
    <definedName name="_xlnm.Print_Titles" localSheetId="33">'整合涉农资金12.5 (3)'!$1:$4</definedName>
    <definedName name="_xlnm.Print_Area" localSheetId="33">'整合涉农资金12.5 (3)'!$A$1:$I$37</definedName>
    <definedName name="_xlnm.Print_Titles" localSheetId="38">'9月 (明细) (2)'!$1:$5</definedName>
    <definedName name="_xlnm.Print_Titles" localSheetId="35">'3月31日（2021年）'!$1:$5</definedName>
    <definedName name="_xlnm.Print_Titles" localSheetId="37">宁县2022年度财政衔接补助资金项目完成情况!$1:$4</definedName>
  </definedNames>
  <calcPr calcId="144525"/>
</workbook>
</file>

<file path=xl/sharedStrings.xml><?xml version="1.0" encoding="utf-8"?>
<sst xmlns="http://schemas.openxmlformats.org/spreadsheetml/2006/main" count="2870" uniqueCount="415">
  <si>
    <t>县脱领办已分配扶贫资金支付进度统计表</t>
  </si>
  <si>
    <t>统计单位：</t>
  </si>
  <si>
    <t>统计截至时间：2018年5月31日</t>
  </si>
  <si>
    <t>单位：万元</t>
  </si>
  <si>
    <t>乡镇</t>
  </si>
  <si>
    <t>部门计划数</t>
  </si>
  <si>
    <t>乡镇支付数</t>
  </si>
  <si>
    <t>支付比例（%）</t>
  </si>
  <si>
    <t>按支付比例排名</t>
  </si>
  <si>
    <t>米桥镇</t>
  </si>
  <si>
    <t>平子镇</t>
  </si>
  <si>
    <t>良平镇</t>
  </si>
  <si>
    <t>早胜镇</t>
  </si>
  <si>
    <t>中村镇</t>
  </si>
  <si>
    <t>新庄镇</t>
  </si>
  <si>
    <t>长庆桥镇</t>
  </si>
  <si>
    <t>太昌镇</t>
  </si>
  <si>
    <t>和盛镇</t>
  </si>
  <si>
    <t>焦村镇</t>
  </si>
  <si>
    <t>九岘乡</t>
  </si>
  <si>
    <t>金村乡</t>
  </si>
  <si>
    <t>盘克镇</t>
  </si>
  <si>
    <t>湘乐镇</t>
  </si>
  <si>
    <t>春荣镇</t>
  </si>
  <si>
    <t>南义乡</t>
  </si>
  <si>
    <t>瓦斜乡</t>
  </si>
  <si>
    <t>新宁镇</t>
  </si>
  <si>
    <t>合    计</t>
  </si>
  <si>
    <t>统计单位：宁县财政局</t>
  </si>
  <si>
    <t>单位名称</t>
  </si>
  <si>
    <t>财政下达数</t>
  </si>
  <si>
    <t>部门支付数</t>
  </si>
  <si>
    <t>其中：天津帮扶资金</t>
  </si>
  <si>
    <t>果业局</t>
  </si>
  <si>
    <t>农村部</t>
  </si>
  <si>
    <t>住建局</t>
  </si>
  <si>
    <t>扶贫办</t>
  </si>
  <si>
    <t>人社局</t>
  </si>
  <si>
    <t>农牧局</t>
  </si>
  <si>
    <t>林业局</t>
  </si>
  <si>
    <t>农综办</t>
  </si>
  <si>
    <t>畜牧局</t>
  </si>
  <si>
    <t>工信局</t>
  </si>
  <si>
    <t>农技中心</t>
  </si>
  <si>
    <t>环保局</t>
  </si>
  <si>
    <t>农机局</t>
  </si>
  <si>
    <t>宁县2018年统筹整合财政涉农资金支付进度统计表</t>
  </si>
  <si>
    <t>统计时间：2018年6月1日</t>
  </si>
  <si>
    <t>计划数</t>
  </si>
  <si>
    <t>支付数</t>
  </si>
  <si>
    <t>支付率排序</t>
  </si>
  <si>
    <t>总规模数</t>
  </si>
  <si>
    <t>备注</t>
  </si>
  <si>
    <t>其中：2017年结转</t>
  </si>
  <si>
    <t>2018年当年安排</t>
  </si>
  <si>
    <t>天津帮扶资金</t>
  </si>
  <si>
    <t>发改局</t>
  </si>
  <si>
    <t>未支付资金</t>
  </si>
  <si>
    <t>支付比例达到70%还需支付资金数</t>
  </si>
  <si>
    <t>2018年统筹整合涉农资金支付进度统计表</t>
  </si>
  <si>
    <t>统计单位：宁县财政局                                                                         2018-6-19</t>
  </si>
  <si>
    <t>整合金额</t>
  </si>
  <si>
    <t>资金用途</t>
  </si>
  <si>
    <t>部门支付金额</t>
  </si>
  <si>
    <t>整合文号</t>
  </si>
  <si>
    <t>资金支付明细</t>
  </si>
  <si>
    <t>小计</t>
  </si>
  <si>
    <t>到户产业</t>
  </si>
  <si>
    <t>安全住房补贴</t>
  </si>
  <si>
    <t>培训</t>
  </si>
  <si>
    <t>基础设施</t>
  </si>
  <si>
    <t>贫困户苹果产业培育</t>
  </si>
  <si>
    <t>宁脱贫领办发（2018）13号1454.26万元、25号729万元</t>
  </si>
  <si>
    <t>驻村工作队员培训</t>
  </si>
  <si>
    <t>宁脱贫领办发（2018）13号</t>
  </si>
  <si>
    <t>两后生培训315万元，基础建设64万元，贴息52万元，项目管理费50万元</t>
  </si>
  <si>
    <t>到户技术培训</t>
  </si>
  <si>
    <t>贫困户种植产业培育972.83万元，双垄沟玉米地膜补助130万元合作社示范建设30万元。</t>
  </si>
  <si>
    <t>贫困户苗林产业培育</t>
  </si>
  <si>
    <t>农村基础设施</t>
  </si>
  <si>
    <t>贫困户养殖产业培育</t>
  </si>
  <si>
    <t>发展经营服务业到户奖补</t>
  </si>
  <si>
    <t>耕地质量提升</t>
  </si>
  <si>
    <t>贫困村环境政治</t>
  </si>
  <si>
    <t>市列专项扶贫资金</t>
  </si>
  <si>
    <t>县列专项扶贫资金</t>
  </si>
  <si>
    <t>备注：1、天津帮扶资金942万元（农牧166万元，支付165.3万元；人社100万元，支付100万元；果业176万元，支付176万元；畜牧500万元，支付385.11万元），支付826.41万元，支付率87.7%。</t>
  </si>
  <si>
    <t xml:space="preserve">      2、上年结转专项扶贫资金613.56万元，支付531.35万元，支付率86.6%。</t>
  </si>
  <si>
    <t xml:space="preserve">      3、6月底支出进度达到70%以上，尚需支出5261万元。</t>
  </si>
  <si>
    <t>2018年财政专项扶贫资金支付进度统计表</t>
  </si>
  <si>
    <t>统计单位：宁县财政局                                                2018-6-20</t>
  </si>
  <si>
    <t>预算安排</t>
  </si>
  <si>
    <t>危房改造</t>
  </si>
  <si>
    <t>一、财政专项扶贫资金</t>
  </si>
  <si>
    <t>（一）扶贫办管理的资金</t>
  </si>
  <si>
    <t>贫困户种植产业培育972.83万元，双垄沟玉米地膜补助130万元。</t>
  </si>
  <si>
    <t>上年结转</t>
  </si>
  <si>
    <t>（二）发改局管理的资金</t>
  </si>
  <si>
    <t>（三）民宗局管理的资金</t>
  </si>
  <si>
    <t>（四）林业局管理的资金</t>
  </si>
  <si>
    <t>（五）市列专项扶贫资金</t>
  </si>
  <si>
    <t>（六）县列专项扶贫资金</t>
  </si>
  <si>
    <t>二、天津帮扶资金</t>
  </si>
  <si>
    <t>贫困户种植产业培育</t>
  </si>
  <si>
    <r>
      <rPr>
        <sz val="11"/>
        <color theme="1"/>
        <rFont val="宋体"/>
        <charset val="134"/>
      </rPr>
      <t>备注：1、专项扶贫资金支出进度达到</t>
    </r>
    <r>
      <rPr>
        <sz val="11"/>
        <color theme="1"/>
        <rFont val="Tahoma"/>
        <charset val="134"/>
      </rPr>
      <t>70%</t>
    </r>
    <r>
      <rPr>
        <sz val="11"/>
        <color theme="1"/>
        <rFont val="宋体"/>
        <charset val="134"/>
      </rPr>
      <t>以上，还需支付资金</t>
    </r>
    <r>
      <rPr>
        <sz val="11"/>
        <color theme="1"/>
        <rFont val="Tahoma"/>
        <charset val="134"/>
      </rPr>
      <t>3556</t>
    </r>
    <r>
      <rPr>
        <sz val="11"/>
        <color theme="1"/>
        <rFont val="宋体"/>
        <charset val="134"/>
      </rPr>
      <t>万元。</t>
    </r>
  </si>
  <si>
    <r>
      <rPr>
        <sz val="11"/>
        <color theme="1"/>
        <rFont val="Tahoma"/>
        <charset val="134"/>
      </rPr>
      <t xml:space="preserve">         2</t>
    </r>
    <r>
      <rPr>
        <sz val="11"/>
        <color theme="1"/>
        <rFont val="宋体"/>
        <charset val="134"/>
      </rPr>
      <t>、农牧局、畜牧局、人社局支付比例达到</t>
    </r>
    <r>
      <rPr>
        <sz val="11"/>
        <color theme="1"/>
        <rFont val="Tahoma"/>
        <charset val="134"/>
      </rPr>
      <t>70&amp;</t>
    </r>
    <r>
      <rPr>
        <sz val="11"/>
        <color theme="1"/>
        <rFont val="宋体"/>
        <charset val="134"/>
      </rPr>
      <t>以上，分别还需支付资金</t>
    </r>
    <r>
      <rPr>
        <sz val="11"/>
        <color theme="1"/>
        <rFont val="Tahoma"/>
        <charset val="134"/>
      </rPr>
      <t>500</t>
    </r>
    <r>
      <rPr>
        <sz val="11"/>
        <color theme="1"/>
        <rFont val="宋体"/>
        <charset val="134"/>
      </rPr>
      <t>万元、</t>
    </r>
    <r>
      <rPr>
        <sz val="11"/>
        <color theme="1"/>
        <rFont val="Tahoma"/>
        <charset val="134"/>
      </rPr>
      <t>1102</t>
    </r>
    <r>
      <rPr>
        <sz val="11"/>
        <color theme="1"/>
        <rFont val="宋体"/>
        <charset val="134"/>
      </rPr>
      <t>万元、</t>
    </r>
    <r>
      <rPr>
        <sz val="11"/>
        <color theme="1"/>
        <rFont val="Tahoma"/>
        <charset val="134"/>
      </rPr>
      <t>373</t>
    </r>
    <r>
      <rPr>
        <sz val="11"/>
        <color theme="1"/>
        <rFont val="宋体"/>
        <charset val="134"/>
      </rPr>
      <t>万元。</t>
    </r>
  </si>
  <si>
    <t>统计单位：宁县财政局                                                2018-6-21</t>
  </si>
  <si>
    <t>贫困户特色优势产业示范培训</t>
  </si>
  <si>
    <t>企业产业技能培训补助</t>
  </si>
  <si>
    <r>
      <rPr>
        <sz val="8"/>
        <color theme="1"/>
        <rFont val="宋体"/>
        <charset val="134"/>
      </rPr>
      <t>备注：1、专项扶贫资金支出进度达到</t>
    </r>
    <r>
      <rPr>
        <sz val="8"/>
        <color theme="1"/>
        <rFont val="Tahoma"/>
        <charset val="134"/>
      </rPr>
      <t>70%</t>
    </r>
    <r>
      <rPr>
        <sz val="8"/>
        <color theme="1"/>
        <rFont val="宋体"/>
        <charset val="134"/>
      </rPr>
      <t>以上，还需支付资金</t>
    </r>
    <r>
      <rPr>
        <sz val="8"/>
        <color theme="1"/>
        <rFont val="Tahoma"/>
        <charset val="134"/>
      </rPr>
      <t>3582</t>
    </r>
    <r>
      <rPr>
        <sz val="8"/>
        <color theme="1"/>
        <rFont val="宋体"/>
        <charset val="134"/>
      </rPr>
      <t>万元。</t>
    </r>
  </si>
  <si>
    <r>
      <rPr>
        <sz val="8"/>
        <color theme="1"/>
        <rFont val="Tahoma"/>
        <charset val="134"/>
      </rPr>
      <t xml:space="preserve">          2</t>
    </r>
    <r>
      <rPr>
        <sz val="8"/>
        <color theme="1"/>
        <rFont val="宋体"/>
        <charset val="134"/>
      </rPr>
      <t>、农牧局、畜牧局、人社局支付比例达到</t>
    </r>
    <r>
      <rPr>
        <sz val="8"/>
        <color theme="1"/>
        <rFont val="Tahoma"/>
        <charset val="134"/>
      </rPr>
      <t>70%</t>
    </r>
    <r>
      <rPr>
        <sz val="8"/>
        <color theme="1"/>
        <rFont val="宋体"/>
        <charset val="134"/>
      </rPr>
      <t>以上，分别还需支付资金</t>
    </r>
    <r>
      <rPr>
        <sz val="8"/>
        <color theme="1"/>
        <rFont val="Tahoma"/>
        <charset val="134"/>
      </rPr>
      <t>510</t>
    </r>
    <r>
      <rPr>
        <sz val="8"/>
        <color theme="1"/>
        <rFont val="宋体"/>
        <charset val="134"/>
      </rPr>
      <t>万元、</t>
    </r>
    <r>
      <rPr>
        <sz val="8"/>
        <color theme="1"/>
        <rFont val="Tahoma"/>
        <charset val="134"/>
      </rPr>
      <t>1102</t>
    </r>
    <r>
      <rPr>
        <sz val="8"/>
        <color theme="1"/>
        <rFont val="宋体"/>
        <charset val="134"/>
      </rPr>
      <t>万元、</t>
    </r>
    <r>
      <rPr>
        <sz val="8"/>
        <color theme="1"/>
        <rFont val="Tahoma"/>
        <charset val="134"/>
      </rPr>
      <t>395</t>
    </r>
    <r>
      <rPr>
        <sz val="8"/>
        <color theme="1"/>
        <rFont val="宋体"/>
        <charset val="134"/>
      </rPr>
      <t>万元。</t>
    </r>
  </si>
  <si>
    <t>统计单位：宁县财政局                                                2018-6-22</t>
  </si>
  <si>
    <t>农牧局（调整资金）</t>
  </si>
  <si>
    <t>人社局（调整资金）</t>
  </si>
  <si>
    <r>
      <rPr>
        <sz val="8"/>
        <color theme="1"/>
        <rFont val="宋体"/>
        <charset val="134"/>
      </rPr>
      <t>备注：1、专项扶贫资金支出进度达到</t>
    </r>
    <r>
      <rPr>
        <sz val="8"/>
        <color theme="1"/>
        <rFont val="Tahoma"/>
        <charset val="134"/>
      </rPr>
      <t>70%</t>
    </r>
    <r>
      <rPr>
        <sz val="8"/>
        <color theme="1"/>
        <rFont val="宋体"/>
        <charset val="134"/>
      </rPr>
      <t>以上，还需支付资金</t>
    </r>
    <r>
      <rPr>
        <sz val="8"/>
        <color theme="1"/>
        <rFont val="Tahoma"/>
        <charset val="134"/>
      </rPr>
      <t>3565</t>
    </r>
    <r>
      <rPr>
        <sz val="8"/>
        <color theme="1"/>
        <rFont val="宋体"/>
        <charset val="134"/>
      </rPr>
      <t>万元。</t>
    </r>
  </si>
  <si>
    <r>
      <rPr>
        <sz val="8"/>
        <color theme="1"/>
        <rFont val="Tahoma"/>
        <charset val="134"/>
      </rPr>
      <t xml:space="preserve">          2</t>
    </r>
    <r>
      <rPr>
        <sz val="8"/>
        <color theme="1"/>
        <rFont val="宋体"/>
        <charset val="134"/>
      </rPr>
      <t>、农牧局、畜牧局、人社局支付比例达到</t>
    </r>
    <r>
      <rPr>
        <sz val="8"/>
        <color theme="1"/>
        <rFont val="Tahoma"/>
        <charset val="134"/>
      </rPr>
      <t>70%</t>
    </r>
    <r>
      <rPr>
        <sz val="8"/>
        <color theme="1"/>
        <rFont val="宋体"/>
        <charset val="134"/>
      </rPr>
      <t>以上，分别还需支付资金</t>
    </r>
    <r>
      <rPr>
        <sz val="8"/>
        <color theme="1"/>
        <rFont val="Tahoma"/>
        <charset val="134"/>
      </rPr>
      <t>492</t>
    </r>
    <r>
      <rPr>
        <sz val="8"/>
        <color theme="1"/>
        <rFont val="宋体"/>
        <charset val="134"/>
      </rPr>
      <t>万元、</t>
    </r>
    <r>
      <rPr>
        <sz val="8"/>
        <color theme="1"/>
        <rFont val="Tahoma"/>
        <charset val="134"/>
      </rPr>
      <t>1102</t>
    </r>
    <r>
      <rPr>
        <sz val="8"/>
        <color theme="1"/>
        <rFont val="宋体"/>
        <charset val="134"/>
      </rPr>
      <t>万元、</t>
    </r>
    <r>
      <rPr>
        <sz val="8"/>
        <color theme="1"/>
        <rFont val="Tahoma"/>
        <charset val="134"/>
      </rPr>
      <t>395</t>
    </r>
    <r>
      <rPr>
        <sz val="8"/>
        <color theme="1"/>
        <rFont val="宋体"/>
        <charset val="134"/>
      </rPr>
      <t>万元。</t>
    </r>
  </si>
  <si>
    <t>统计单位：宁县财政局                                                2018-6-25</t>
  </si>
  <si>
    <r>
      <rPr>
        <sz val="8"/>
        <color theme="1"/>
        <rFont val="宋体"/>
        <charset val="134"/>
      </rPr>
      <t>备注：1、专项扶贫资金支出进度达到</t>
    </r>
    <r>
      <rPr>
        <sz val="8"/>
        <color theme="1"/>
        <rFont val="Tahoma"/>
        <charset val="134"/>
      </rPr>
      <t>70%</t>
    </r>
    <r>
      <rPr>
        <sz val="8"/>
        <color theme="1"/>
        <rFont val="宋体"/>
        <charset val="134"/>
      </rPr>
      <t>以上，还需支付资金</t>
    </r>
    <r>
      <rPr>
        <sz val="8"/>
        <color theme="1"/>
        <rFont val="Tahoma"/>
        <charset val="134"/>
      </rPr>
      <t>3354</t>
    </r>
    <r>
      <rPr>
        <sz val="8"/>
        <color theme="1"/>
        <rFont val="宋体"/>
        <charset val="134"/>
      </rPr>
      <t>万元。</t>
    </r>
  </si>
  <si>
    <t xml:space="preserve">统计单位：宁县财政局                                                </t>
  </si>
  <si>
    <t>果业局苹果产业入股资金</t>
  </si>
  <si>
    <r>
      <rPr>
        <sz val="8"/>
        <color theme="1"/>
        <rFont val="宋体"/>
        <charset val="134"/>
      </rPr>
      <t>备注：1、专项扶贫资金支出进度达到</t>
    </r>
    <r>
      <rPr>
        <sz val="8"/>
        <color theme="1"/>
        <rFont val="Tahoma"/>
        <charset val="134"/>
      </rPr>
      <t>70%</t>
    </r>
    <r>
      <rPr>
        <sz val="8"/>
        <color theme="1"/>
        <rFont val="宋体"/>
        <charset val="134"/>
      </rPr>
      <t>以上，还需支付资金</t>
    </r>
    <r>
      <rPr>
        <sz val="8"/>
        <color theme="1"/>
        <rFont val="Tahoma"/>
        <charset val="134"/>
      </rPr>
      <t>2220</t>
    </r>
    <r>
      <rPr>
        <sz val="8"/>
        <color theme="1"/>
        <rFont val="宋体"/>
        <charset val="134"/>
      </rPr>
      <t>万元。</t>
    </r>
  </si>
  <si>
    <r>
      <rPr>
        <sz val="8"/>
        <color theme="1"/>
        <rFont val="Tahoma"/>
        <charset val="134"/>
      </rPr>
      <t xml:space="preserve">          2</t>
    </r>
    <r>
      <rPr>
        <sz val="8"/>
        <color theme="1"/>
        <rFont val="宋体"/>
        <charset val="134"/>
      </rPr>
      <t>、农牧局、畜牧局、人社局支付比例达到</t>
    </r>
    <r>
      <rPr>
        <sz val="8"/>
        <color theme="1"/>
        <rFont val="Tahoma"/>
        <charset val="134"/>
      </rPr>
      <t>70%</t>
    </r>
    <r>
      <rPr>
        <sz val="8"/>
        <color theme="1"/>
        <rFont val="宋体"/>
        <charset val="134"/>
      </rPr>
      <t>以上，分别还需支付资金</t>
    </r>
    <r>
      <rPr>
        <sz val="8"/>
        <color theme="1"/>
        <rFont val="Tahoma"/>
        <charset val="134"/>
      </rPr>
      <t>474.79</t>
    </r>
    <r>
      <rPr>
        <sz val="8"/>
        <color theme="1"/>
        <rFont val="宋体"/>
        <charset val="134"/>
      </rPr>
      <t>万元、</t>
    </r>
    <r>
      <rPr>
        <sz val="8"/>
        <color theme="1"/>
        <rFont val="Tahoma"/>
        <charset val="134"/>
      </rPr>
      <t>1039</t>
    </r>
    <r>
      <rPr>
        <sz val="8"/>
        <color theme="1"/>
        <rFont val="宋体"/>
        <charset val="134"/>
      </rPr>
      <t>万元、</t>
    </r>
    <r>
      <rPr>
        <sz val="8"/>
        <color theme="1"/>
        <rFont val="Tahoma"/>
        <charset val="134"/>
      </rPr>
      <t>243</t>
    </r>
    <r>
      <rPr>
        <sz val="8"/>
        <color theme="1"/>
        <rFont val="宋体"/>
        <charset val="134"/>
      </rPr>
      <t>万元。</t>
    </r>
  </si>
  <si>
    <t>扶贫发展资金</t>
  </si>
  <si>
    <r>
      <rPr>
        <sz val="8"/>
        <color theme="1"/>
        <rFont val="Tahoma"/>
        <charset val="134"/>
      </rPr>
      <t>11.64</t>
    </r>
    <r>
      <rPr>
        <sz val="8"/>
        <color theme="1"/>
        <rFont val="宋体"/>
        <charset val="134"/>
      </rPr>
      <t>万元扶贫办已按结余资金申请盘活</t>
    </r>
  </si>
  <si>
    <t>以工代赈资金</t>
  </si>
  <si>
    <t>少数民族发展资金</t>
  </si>
  <si>
    <t>贫困林场资金</t>
  </si>
  <si>
    <t>支付率达到70%
需支出数</t>
  </si>
  <si>
    <t>部门实际支付
金额</t>
  </si>
  <si>
    <t>达到预期目标需支付数</t>
  </si>
  <si>
    <r>
      <rPr>
        <sz val="11"/>
        <color theme="1"/>
        <rFont val="宋体"/>
        <charset val="134"/>
      </rPr>
      <t>备注：红字代表部门支付率达到</t>
    </r>
    <r>
      <rPr>
        <sz val="11"/>
        <color theme="1"/>
        <rFont val="Tahoma"/>
        <charset val="134"/>
      </rPr>
      <t>70%</t>
    </r>
    <r>
      <rPr>
        <sz val="11"/>
        <color theme="1"/>
        <rFont val="宋体"/>
        <charset val="134"/>
      </rPr>
      <t>以上，需支付数。</t>
    </r>
  </si>
  <si>
    <t>贷款贴息</t>
  </si>
  <si>
    <r>
      <rPr>
        <sz val="8"/>
        <color theme="1"/>
        <rFont val="Tahoma"/>
        <charset val="134"/>
      </rPr>
      <t>11.6441</t>
    </r>
    <r>
      <rPr>
        <sz val="8"/>
        <color theme="1"/>
        <rFont val="宋体"/>
        <charset val="134"/>
      </rPr>
      <t>万元扶贫办已按结余资金申请盘活</t>
    </r>
  </si>
  <si>
    <t>2019年财政专项扶贫资金支付进度统计表</t>
  </si>
  <si>
    <t>项目名称</t>
  </si>
  <si>
    <t>资金安排</t>
  </si>
  <si>
    <t>部门支付             金额</t>
  </si>
  <si>
    <t>未支付           金额</t>
  </si>
  <si>
    <t>合计</t>
  </si>
  <si>
    <t>产业发展</t>
  </si>
  <si>
    <t>基础设施建设</t>
  </si>
  <si>
    <t>其他</t>
  </si>
  <si>
    <t>产业培育</t>
  </si>
  <si>
    <t>村集体经济</t>
  </si>
  <si>
    <t>合作社建设</t>
  </si>
  <si>
    <t>扶贫车间</t>
  </si>
  <si>
    <t>(一)中央、省级财政专项扶贫资金</t>
  </si>
  <si>
    <t>1、扶贫办管理的资金</t>
  </si>
  <si>
    <t>水务局</t>
  </si>
  <si>
    <t>农村供水工程维修改造项目</t>
  </si>
  <si>
    <t>农业农村局</t>
  </si>
  <si>
    <t>新识别贫困户产业培育17万元，贫困户增收产业巩固提升4614万元</t>
  </si>
  <si>
    <t>金融办</t>
  </si>
  <si>
    <t>精准扶贫贷款贴息</t>
  </si>
  <si>
    <t>天润投资公司</t>
  </si>
  <si>
    <t>易地扶贫搬迁贷款贴息</t>
  </si>
  <si>
    <t>精准扶贫贷款贴息176万元，两后生培训300万元，项目管理费80万元</t>
  </si>
  <si>
    <t>村集体经济2669万元，产业贷款贴息387万元</t>
  </si>
  <si>
    <t>2、发改局管理的资金</t>
  </si>
  <si>
    <t>以工代赈资金（未分配）</t>
  </si>
  <si>
    <t>3、林业局管理的资金</t>
  </si>
  <si>
    <t>贫困林场资金（未分配）</t>
  </si>
  <si>
    <t>（二）市级财政专项扶贫资金</t>
  </si>
  <si>
    <t>扶贫车间建设</t>
  </si>
  <si>
    <t>农民专业合作社建设</t>
  </si>
  <si>
    <t>未分配</t>
  </si>
  <si>
    <t>（三）县级财政专项扶贫资金</t>
  </si>
  <si>
    <t>贫困户增收产业巩固提升</t>
  </si>
  <si>
    <t>贫困户劳动力技能培训</t>
  </si>
  <si>
    <t>致富带头人培训</t>
  </si>
  <si>
    <t>三、资金分部门使用情况</t>
  </si>
  <si>
    <t xml:space="preserve"> (二）省级财政专项扶贫资金</t>
  </si>
  <si>
    <t>（三）市级财政专项扶贫资金</t>
  </si>
  <si>
    <t>（四）县级财政专项扶贫资金</t>
  </si>
  <si>
    <t>安全饮水</t>
  </si>
  <si>
    <t>村集体经济（合作社扶持）</t>
  </si>
  <si>
    <t>大蒜种植地膜补助</t>
  </si>
  <si>
    <t>建档立卡特困户基本生活条件改造</t>
  </si>
  <si>
    <t>道路、漫水桥建设</t>
  </si>
  <si>
    <t xml:space="preserve">  </t>
  </si>
  <si>
    <t>(一)中央财政专项扶贫资金</t>
  </si>
  <si>
    <t>1.中央一批资金
(甘财农二[2018113号])</t>
  </si>
  <si>
    <t>2.中央二批资金
（甘财扶贫[2019]7号）</t>
  </si>
  <si>
    <t>3.以工代赈资金
（甘财农二[2018]111号）</t>
  </si>
  <si>
    <t>4.国有贫困林场资金
（甘财农二[2018]112号）</t>
  </si>
  <si>
    <t xml:space="preserve"> (二）省级财政专项扶贫资金
（甘财农二[2019]16号）</t>
  </si>
  <si>
    <t>（三）市级财政专项扶贫资金
（庆市财农[2019]115、116号）</t>
  </si>
  <si>
    <t>专业技能培训</t>
  </si>
  <si>
    <t>（四）县级财政专项扶贫资金
（宁财发[2019]1号）</t>
  </si>
  <si>
    <t>1.一批资金
（宁脱贫领办法[2019]7号）</t>
  </si>
  <si>
    <t>2.二批资金
（宁脱领办发[2019]29号）</t>
  </si>
  <si>
    <t>商务局</t>
  </si>
  <si>
    <t>消费扶贫</t>
  </si>
  <si>
    <t>有机肥料推广</t>
  </si>
  <si>
    <t>贫困户五小产业培育</t>
  </si>
  <si>
    <t>教育局</t>
  </si>
  <si>
    <t>职业技能培训</t>
  </si>
  <si>
    <t>卫健局</t>
  </si>
  <si>
    <t>健康扶贫</t>
  </si>
  <si>
    <t>林业和草原局</t>
  </si>
  <si>
    <t>2019.6.30</t>
  </si>
  <si>
    <t>备注：财政专项扶贫资金按照省级考核口径，应支付19964.5万元，已支付15982.84万元，支付比例80.06%。</t>
  </si>
  <si>
    <t>2019.7.11</t>
  </si>
  <si>
    <t>备注：财政专项扶贫资金按照省级考核口径，应支付19964.5万元，已支付16497.84万元，支付比例82.66%。</t>
  </si>
  <si>
    <t>2019.8.1</t>
  </si>
  <si>
    <t>备注：财政专项扶贫资金按照省级考核口径，应支付19964.5万元，已支付16593.53万元，支付比例83.12%。</t>
  </si>
  <si>
    <t>2019.8.5</t>
  </si>
  <si>
    <t>3.国有贫困林场资金
（甘财农二[2018]112号）</t>
  </si>
  <si>
    <t>2019.8.8</t>
  </si>
  <si>
    <t>备注：财政专项扶贫资金按照省级考核口径，应支付19964.5万元，已支付16630.44万元，支付比例83.3%。</t>
  </si>
  <si>
    <t>2019.8.13</t>
  </si>
  <si>
    <t>2019.8.22</t>
  </si>
  <si>
    <t xml:space="preserve">   </t>
  </si>
  <si>
    <t>备注：财政专项扶贫资金按照省级考核口径，应支付19964.5万元，已支付16701.94万元，支付比例83.66%。</t>
  </si>
  <si>
    <t>2019年财政扶贫资金支付进度统计表</t>
  </si>
  <si>
    <t>农村安全饮水</t>
  </si>
  <si>
    <t>三、部门整合资金</t>
  </si>
  <si>
    <t>农村饮水安全项目</t>
  </si>
  <si>
    <t>交通局</t>
  </si>
  <si>
    <t>农村道路安全防护及村组道路建设</t>
  </si>
  <si>
    <t>村级集体经济</t>
  </si>
  <si>
    <t>贫困户产业扶持</t>
  </si>
  <si>
    <t>贫困户增收产业培育</t>
  </si>
  <si>
    <t>农民专业合作社</t>
  </si>
  <si>
    <t>林草局</t>
  </si>
  <si>
    <t>九龙川林场生产设施建设</t>
  </si>
  <si>
    <t>造林补贴</t>
  </si>
  <si>
    <t>新型职业农民培育</t>
  </si>
  <si>
    <t>粮改饲项目</t>
  </si>
  <si>
    <t>农民专业合作社领办人培训</t>
  </si>
  <si>
    <t>测土配方施肥</t>
  </si>
  <si>
    <t>四、国家开发投资公司定点帮扶资金（宁脱贫领办发36号）</t>
  </si>
  <si>
    <t>村集体经济发展</t>
  </si>
  <si>
    <t>中药材种植</t>
  </si>
  <si>
    <t>垃圾填埋场建设</t>
  </si>
  <si>
    <t>平子下塬村供水工程</t>
  </si>
  <si>
    <t>资助贫困新入学大学生</t>
  </si>
  <si>
    <t>五资金分部门使用情况</t>
  </si>
  <si>
    <t>2019年东西部扶贫协作资金支付进度统计表</t>
  </si>
  <si>
    <t>预计支付资金</t>
  </si>
  <si>
    <t>预计支付比例（%）</t>
  </si>
  <si>
    <t>支付时间</t>
  </si>
  <si>
    <t>金额</t>
  </si>
  <si>
    <t>一、农业农村局小计</t>
  </si>
  <si>
    <t>1、农业农村局</t>
  </si>
  <si>
    <t>贫困户产业培育</t>
  </si>
  <si>
    <t>2、农业农村局</t>
  </si>
  <si>
    <t>3、农业农村局</t>
  </si>
  <si>
    <t>4、农业农村局</t>
  </si>
  <si>
    <t>5、农业农村局</t>
  </si>
  <si>
    <t>二、水务局小计</t>
  </si>
  <si>
    <t>1、水务局</t>
  </si>
  <si>
    <t>2、水务局</t>
  </si>
  <si>
    <t>3、水务局</t>
  </si>
  <si>
    <t>三、金融办小计</t>
  </si>
  <si>
    <t>1、金融办</t>
  </si>
  <si>
    <t>2、金融办</t>
  </si>
  <si>
    <t>四、扶贫办小计</t>
  </si>
  <si>
    <t>1、扶贫办</t>
  </si>
  <si>
    <t>2、扶贫办</t>
  </si>
  <si>
    <t>项目管理费</t>
  </si>
  <si>
    <t>3、扶贫办</t>
  </si>
  <si>
    <t>4、扶贫办</t>
  </si>
  <si>
    <t>两后生培训</t>
  </si>
  <si>
    <t>五、果业局小计</t>
  </si>
  <si>
    <t>1、果业局</t>
  </si>
  <si>
    <t>扶持村集体经济</t>
  </si>
  <si>
    <t>2、果业局</t>
  </si>
  <si>
    <t>产业贷款贴息</t>
  </si>
  <si>
    <t>六、人社局</t>
  </si>
  <si>
    <t>1、人社局</t>
  </si>
  <si>
    <t>2、人社局</t>
  </si>
  <si>
    <t>贫困户劳动技能培训</t>
  </si>
  <si>
    <t>七、住建局小计</t>
  </si>
  <si>
    <t>1、住建局</t>
  </si>
  <si>
    <t>2、住建局</t>
  </si>
  <si>
    <t>农村危房改造</t>
  </si>
  <si>
    <t>2019年统筹整合涉农资金支付进度统计表</t>
  </si>
  <si>
    <t>未支付金额</t>
  </si>
  <si>
    <t>预计支出</t>
  </si>
  <si>
    <t>预计支付比例</t>
  </si>
  <si>
    <t>时间</t>
  </si>
  <si>
    <t>6、农业农村局</t>
  </si>
  <si>
    <t>高标准农田建设</t>
  </si>
  <si>
    <t>砂石路建设</t>
  </si>
  <si>
    <t>漫水桥建设</t>
  </si>
  <si>
    <t>六、人社局小计</t>
  </si>
  <si>
    <t>3、人社局</t>
  </si>
  <si>
    <t>建档立卡贫困户培训补助</t>
  </si>
  <si>
    <t>七、住建局</t>
  </si>
  <si>
    <t>八、交通局小计</t>
  </si>
  <si>
    <t>1、交通局</t>
  </si>
  <si>
    <t>农村道路安全防护工程</t>
  </si>
  <si>
    <t>2、交通局</t>
  </si>
  <si>
    <t>农村道路建设</t>
  </si>
  <si>
    <t>九、林草局小计</t>
  </si>
  <si>
    <t>1、林草局</t>
  </si>
  <si>
    <t>2、林草局</t>
  </si>
  <si>
    <t>造林补贴及苗木补助</t>
  </si>
  <si>
    <r>
      <rPr>
        <sz val="11"/>
        <color theme="1"/>
        <rFont val="Tahoma"/>
        <charset val="134"/>
      </rPr>
      <t xml:space="preserve">       </t>
    </r>
    <r>
      <rPr>
        <sz val="11"/>
        <color theme="1"/>
        <rFont val="宋体"/>
        <charset val="134"/>
      </rPr>
      <t>备注：截至</t>
    </r>
    <r>
      <rPr>
        <sz val="11"/>
        <color theme="1"/>
        <rFont val="Tahoma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21</t>
    </r>
    <r>
      <rPr>
        <sz val="11"/>
        <color theme="1"/>
        <rFont val="宋体"/>
        <charset val="134"/>
      </rPr>
      <t>日整合资金累计支付</t>
    </r>
    <r>
      <rPr>
        <sz val="11"/>
        <color theme="1"/>
        <rFont val="Tahoma"/>
        <charset val="134"/>
      </rPr>
      <t>23819.35</t>
    </r>
    <r>
      <rPr>
        <sz val="11"/>
        <color theme="1"/>
        <rFont val="宋体"/>
        <charset val="134"/>
      </rPr>
      <t>万元，部门上报年内预计再支付</t>
    </r>
    <r>
      <rPr>
        <sz val="11"/>
        <color theme="1"/>
        <rFont val="Tahoma"/>
        <charset val="134"/>
      </rPr>
      <t>2839</t>
    </r>
    <r>
      <rPr>
        <sz val="11"/>
        <color theme="1"/>
        <rFont val="宋体"/>
        <charset val="134"/>
      </rPr>
      <t>万元，共计支付</t>
    </r>
    <r>
      <rPr>
        <sz val="11"/>
        <color theme="1"/>
        <rFont val="Tahoma"/>
        <charset val="134"/>
      </rPr>
      <t>26316</t>
    </r>
    <r>
      <rPr>
        <sz val="11"/>
        <color theme="1"/>
        <rFont val="宋体"/>
        <charset val="134"/>
      </rPr>
      <t>万元，支付率</t>
    </r>
    <r>
      <rPr>
        <sz val="11"/>
        <color theme="1"/>
        <rFont val="Tahoma"/>
        <charset val="134"/>
      </rPr>
      <t>82.48%</t>
    </r>
    <r>
      <rPr>
        <sz val="11"/>
        <color theme="1"/>
        <rFont val="宋体"/>
        <charset val="134"/>
      </rPr>
      <t>。整合资金中财政专项扶贫资金支付比例达到</t>
    </r>
    <r>
      <rPr>
        <sz val="11"/>
        <color theme="1"/>
        <rFont val="Tahoma"/>
        <charset val="134"/>
      </rPr>
      <t>100%</t>
    </r>
    <r>
      <rPr>
        <sz val="11"/>
        <color theme="1"/>
        <rFont val="宋体"/>
        <charset val="134"/>
      </rPr>
      <t>，整合资金总额支付比例达到省级考核</t>
    </r>
    <r>
      <rPr>
        <sz val="11"/>
        <color theme="1"/>
        <rFont val="Tahoma"/>
        <charset val="134"/>
      </rPr>
      <t>85%</t>
    </r>
    <r>
      <rPr>
        <sz val="11"/>
        <color theme="1"/>
        <rFont val="宋体"/>
        <charset val="134"/>
      </rPr>
      <t>以上要求，还需支付</t>
    </r>
    <r>
      <rPr>
        <sz val="11"/>
        <color theme="1"/>
        <rFont val="Tahoma"/>
        <charset val="134"/>
      </rPr>
      <t>1058</t>
    </r>
    <r>
      <rPr>
        <sz val="11"/>
        <color theme="1"/>
        <rFont val="宋体"/>
        <charset val="134"/>
      </rPr>
      <t>万元以上，支付率</t>
    </r>
    <r>
      <rPr>
        <sz val="11"/>
        <color theme="1"/>
        <rFont val="Tahoma"/>
        <charset val="134"/>
      </rPr>
      <t>85.86%</t>
    </r>
    <r>
      <rPr>
        <sz val="11"/>
        <color theme="1"/>
        <rFont val="宋体"/>
        <charset val="134"/>
      </rPr>
      <t>。</t>
    </r>
  </si>
  <si>
    <t>宁县2020年财政扶贫资金支付进度统计表</t>
  </si>
  <si>
    <t xml:space="preserve">统计单位：宁县财政局农业税政股                                                </t>
  </si>
  <si>
    <r>
      <rPr>
        <sz val="12"/>
        <color theme="1"/>
        <rFont val="宋体"/>
        <charset val="134"/>
      </rPr>
      <t>统计时限：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宋体"/>
        <charset val="134"/>
      </rPr>
      <t>月31日</t>
    </r>
  </si>
  <si>
    <t>县脱领办安排资金</t>
  </si>
  <si>
    <t>部门支付资金</t>
  </si>
  <si>
    <t>部门未支付金额</t>
  </si>
  <si>
    <t>财政专项扶贫资金</t>
  </si>
  <si>
    <t>整合涉农资金</t>
  </si>
  <si>
    <t>国投公司定点帮扶资金</t>
  </si>
  <si>
    <t>补短板综合财力</t>
  </si>
  <si>
    <t>整合涉农  资金</t>
  </si>
  <si>
    <t>天津帮扶  资金</t>
  </si>
  <si>
    <t>合  计</t>
  </si>
  <si>
    <t>组织部</t>
  </si>
  <si>
    <t>水保局</t>
  </si>
  <si>
    <t>残联</t>
  </si>
  <si>
    <t>说明：1.按省级财政专项扶贫资金考核口径，2020年各级财政共安排我县专项扶贫资金23635万元（中央10794万元，省级6461万元，市级3080万元，县级3300万元），完成支付23635万元，支付率为100%。
      2.按省级统筹整合涉农资金考核口径，截止12月31日我县统筹整合资金总规模28826.6万元，完成支付25944.31万元，支付率为90%。（其中统筹整合到位部门涉农资金8613.2万元，完成支付5730.91万元，支付率为66.54%。）
      3.2020年天津帮扶资金共安排4080万元，完成支付3775.15万元，支付率为92.53%。
      4.2020年国投公司定点帮扶资金1400万元，完成支付1370万元，支付率为97.86%。
      5.2020年补短板综合财力补助资金安排1153万元，完成支付1153万元，支付率为100%。</t>
  </si>
  <si>
    <t>统计人：</t>
  </si>
  <si>
    <t>分管领导：</t>
  </si>
  <si>
    <t>2020年财政扶贫资金拟评价清单</t>
  </si>
  <si>
    <t>资金类别</t>
  </si>
  <si>
    <t>计划已报</t>
  </si>
  <si>
    <r>
      <rPr>
        <sz val="12"/>
        <color theme="1"/>
        <rFont val="Tahoma"/>
        <charset val="134"/>
      </rPr>
      <t>5</t>
    </r>
    <r>
      <rPr>
        <sz val="12"/>
        <color theme="1"/>
        <rFont val="宋体"/>
        <charset val="134"/>
      </rPr>
      <t>月</t>
    </r>
  </si>
  <si>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</si>
  <si>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</si>
  <si>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ahoma"/>
        <charset val="134"/>
      </rPr>
      <t>8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</si>
  <si>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Tahoma"/>
        <charset val="134"/>
      </rPr>
      <t>9</t>
    </r>
    <r>
      <rPr>
        <sz val="11"/>
        <color theme="1"/>
        <rFont val="宋体"/>
        <charset val="134"/>
      </rPr>
      <t>月</t>
    </r>
  </si>
  <si>
    <r>
      <rPr>
        <b/>
        <sz val="14"/>
        <rFont val="宋体"/>
        <charset val="134"/>
      </rPr>
      <t>一、扶贫办小计</t>
    </r>
  </si>
  <si>
    <r>
      <rPr>
        <sz val="14"/>
        <rFont val="宋体"/>
        <charset val="134"/>
      </rPr>
      <t>扶贫办</t>
    </r>
  </si>
  <si>
    <r>
      <rPr>
        <sz val="14"/>
        <rFont val="宋体"/>
        <charset val="134"/>
      </rPr>
      <t>村组保畅通砂石路建设</t>
    </r>
  </si>
  <si>
    <r>
      <rPr>
        <sz val="14"/>
        <rFont val="宋体"/>
        <charset val="134"/>
      </rPr>
      <t>财专资金（省级）</t>
    </r>
  </si>
  <si>
    <r>
      <rPr>
        <sz val="14"/>
        <rFont val="宋体"/>
        <charset val="134"/>
      </rPr>
      <t>村组</t>
    </r>
    <r>
      <rPr>
        <sz val="14"/>
        <rFont val="Times New Roman"/>
        <charset val="134"/>
      </rPr>
      <t>“</t>
    </r>
    <r>
      <rPr>
        <sz val="14"/>
        <rFont val="宋体"/>
        <charset val="134"/>
      </rPr>
      <t>三化</t>
    </r>
    <r>
      <rPr>
        <sz val="14"/>
        <rFont val="Times New Roman"/>
        <charset val="134"/>
      </rPr>
      <t>”</t>
    </r>
    <r>
      <rPr>
        <sz val="14"/>
        <rFont val="宋体"/>
        <charset val="134"/>
      </rPr>
      <t>项目</t>
    </r>
  </si>
  <si>
    <r>
      <rPr>
        <sz val="14"/>
        <rFont val="宋体"/>
        <charset val="134"/>
      </rPr>
      <t>村组道路建设</t>
    </r>
  </si>
  <si>
    <r>
      <rPr>
        <sz val="14"/>
        <rFont val="宋体"/>
        <charset val="134"/>
      </rPr>
      <t>财专资金（中央）</t>
    </r>
  </si>
  <si>
    <r>
      <rPr>
        <sz val="14"/>
        <color theme="1"/>
        <rFont val="宋体"/>
        <charset val="134"/>
      </rPr>
      <t>村组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宋体"/>
        <charset val="134"/>
      </rPr>
      <t>三化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宋体"/>
        <charset val="134"/>
      </rPr>
      <t>项目</t>
    </r>
  </si>
  <si>
    <r>
      <rPr>
        <sz val="14"/>
        <rFont val="宋体"/>
        <charset val="134"/>
      </rPr>
      <t>财专资金（市级）</t>
    </r>
  </si>
  <si>
    <r>
      <rPr>
        <sz val="14"/>
        <color theme="1"/>
        <rFont val="宋体"/>
        <charset val="134"/>
      </rPr>
      <t>村组道路建设</t>
    </r>
  </si>
  <si>
    <r>
      <rPr>
        <sz val="14"/>
        <color theme="1"/>
        <rFont val="宋体"/>
        <charset val="134"/>
      </rPr>
      <t>整合资金</t>
    </r>
  </si>
  <si>
    <r>
      <rPr>
        <b/>
        <sz val="14"/>
        <rFont val="宋体"/>
        <charset val="134"/>
      </rPr>
      <t>二、教育局</t>
    </r>
  </si>
  <si>
    <r>
      <rPr>
        <sz val="14"/>
        <color theme="1"/>
        <rFont val="宋体"/>
        <charset val="134"/>
      </rPr>
      <t>同步课堂建设</t>
    </r>
  </si>
  <si>
    <r>
      <rPr>
        <sz val="14"/>
        <color theme="1"/>
        <rFont val="宋体"/>
        <charset val="134"/>
      </rPr>
      <t>天津帮扶</t>
    </r>
  </si>
  <si>
    <r>
      <rPr>
        <b/>
        <sz val="14"/>
        <rFont val="宋体"/>
        <charset val="134"/>
      </rPr>
      <t>三、水务局小计</t>
    </r>
  </si>
  <si>
    <r>
      <rPr>
        <sz val="14"/>
        <rFont val="宋体"/>
        <charset val="134"/>
      </rPr>
      <t>水务局</t>
    </r>
  </si>
  <si>
    <r>
      <rPr>
        <sz val="14"/>
        <rFont val="宋体"/>
        <charset val="134"/>
      </rPr>
      <t>安全饮水</t>
    </r>
  </si>
  <si>
    <r>
      <rPr>
        <sz val="14"/>
        <color theme="1"/>
        <rFont val="宋体"/>
        <charset val="134"/>
      </rPr>
      <t>农村安全饮水</t>
    </r>
  </si>
  <si>
    <r>
      <rPr>
        <sz val="14"/>
        <color theme="1"/>
        <rFont val="宋体"/>
        <charset val="134"/>
      </rPr>
      <t>安全饮水</t>
    </r>
  </si>
  <si>
    <r>
      <rPr>
        <sz val="14"/>
        <rFont val="宋体"/>
        <charset val="134"/>
      </rPr>
      <t>财专资金（县级）</t>
    </r>
  </si>
  <si>
    <r>
      <rPr>
        <sz val="14"/>
        <color theme="1"/>
        <rFont val="宋体"/>
        <charset val="134"/>
      </rPr>
      <t>苦咸水专项</t>
    </r>
  </si>
  <si>
    <r>
      <rPr>
        <sz val="14"/>
        <color theme="1"/>
        <rFont val="宋体"/>
        <charset val="134"/>
      </rPr>
      <t>补短板综合财力补助</t>
    </r>
  </si>
  <si>
    <r>
      <rPr>
        <b/>
        <sz val="14"/>
        <rFont val="宋体"/>
        <charset val="134"/>
      </rPr>
      <t>四、卫健局</t>
    </r>
  </si>
  <si>
    <r>
      <rPr>
        <sz val="14"/>
        <color theme="1"/>
        <rFont val="宋体"/>
        <charset val="134"/>
      </rPr>
      <t>农村基层医疗保障建设</t>
    </r>
  </si>
  <si>
    <r>
      <rPr>
        <b/>
        <sz val="14"/>
        <color theme="1"/>
        <rFont val="宋体"/>
        <charset val="134"/>
      </rPr>
      <t>合</t>
    </r>
    <r>
      <rPr>
        <b/>
        <sz val="14"/>
        <color theme="1"/>
        <rFont val="Times New Roman"/>
        <charset val="134"/>
      </rPr>
      <t xml:space="preserve">   </t>
    </r>
    <r>
      <rPr>
        <b/>
        <sz val="14"/>
        <color theme="1"/>
        <rFont val="宋体"/>
        <charset val="134"/>
      </rPr>
      <t>计</t>
    </r>
  </si>
  <si>
    <t>宁县2022年度财政衔接补助资金项目完成情况</t>
  </si>
  <si>
    <t xml:space="preserve">                              </t>
  </si>
  <si>
    <t>指标文号</t>
  </si>
  <si>
    <t>下达金额</t>
  </si>
  <si>
    <t>分配文号</t>
  </si>
  <si>
    <t>级次</t>
  </si>
  <si>
    <t>使用单位</t>
  </si>
  <si>
    <t>甘财扶贫[2021]26号</t>
  </si>
  <si>
    <t>宁农领办发[2022]3号</t>
  </si>
  <si>
    <t>中央级</t>
  </si>
  <si>
    <t>绿色标准化蔬菜基地建设</t>
  </si>
  <si>
    <t>农村人居环境整治</t>
  </si>
  <si>
    <t>乡村振兴局</t>
  </si>
  <si>
    <t>调整项目</t>
  </si>
  <si>
    <t>精准扶贫专项贷款贴息</t>
  </si>
  <si>
    <t>果业发展中心</t>
  </si>
  <si>
    <t>脱贫户小额贷款贴息</t>
  </si>
  <si>
    <t>产业道路建设</t>
  </si>
  <si>
    <t>“两后生”培训</t>
  </si>
  <si>
    <t>财政局</t>
  </si>
  <si>
    <t>易地扶贫搬迁政府债券贴息</t>
  </si>
  <si>
    <t>农村生活污水处理</t>
  </si>
  <si>
    <t>村组道路建设</t>
  </si>
  <si>
    <t>以工代赈任务</t>
  </si>
  <si>
    <t>甘财振兴[2022]9号</t>
  </si>
  <si>
    <t>宁农领办发[2022]27号</t>
  </si>
  <si>
    <t>小    计</t>
  </si>
  <si>
    <t>甘财扶贫[2021]25号</t>
  </si>
  <si>
    <t>宁农领办发[2022]4号</t>
  </si>
  <si>
    <t>省级</t>
  </si>
  <si>
    <t>苹果产业发展</t>
  </si>
  <si>
    <t>畜牧兽医站</t>
  </si>
  <si>
    <t>草畜产业发展</t>
  </si>
  <si>
    <t>村级公益岗位</t>
  </si>
  <si>
    <t>乡村建设示范村</t>
  </si>
  <si>
    <t>甘财振兴[2022]10号</t>
  </si>
  <si>
    <t>宁农领办发[2022]28号</t>
  </si>
  <si>
    <t>中央、省级共计</t>
  </si>
  <si>
    <t>庆市财农[2022]130号</t>
  </si>
  <si>
    <t>宁农领办发[2022]36号</t>
  </si>
  <si>
    <t>市级</t>
  </si>
  <si>
    <t>早胜牛种质资源保护</t>
  </si>
  <si>
    <t>肉牛养殖专业村培育</t>
  </si>
  <si>
    <t>庆市财农[2022]151号</t>
  </si>
  <si>
    <t>宁农领办发[2022]45号</t>
  </si>
  <si>
    <t>高效农业发展</t>
  </si>
  <si>
    <t>产业配套设施建设</t>
  </si>
  <si>
    <t>农村脱贫劳动力技能培训和高素质农民培训</t>
  </si>
  <si>
    <t>宁财发[2021]51号</t>
  </si>
  <si>
    <t>宁农领办发[2022]29号</t>
  </si>
  <si>
    <t>县级</t>
  </si>
  <si>
    <t>早胜牛种质资源保护技术研发</t>
  </si>
  <si>
    <t>粮食产业高效生产示范区建设</t>
  </si>
  <si>
    <t>宁农领办发[2022]63号</t>
  </si>
  <si>
    <t>2020年东西部扶贫协作资金支付进度统计表</t>
  </si>
  <si>
    <t>金银花种植</t>
  </si>
  <si>
    <t>贫困劳动力劳务输转补助</t>
  </si>
  <si>
    <t>党政干部培训</t>
  </si>
  <si>
    <t>农村基层医疗保障建设</t>
  </si>
  <si>
    <t>专技人才培训</t>
  </si>
  <si>
    <t>残疾人关爱项目</t>
  </si>
  <si>
    <t>产业培训实训基地建设</t>
  </si>
  <si>
    <t>同步课堂建设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</si>
</sst>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_ "/>
    <numFmt numFmtId="178" formatCode="yyyy&quot;年&quot;m&quot;月&quot;d&quot;日&quot;;@"/>
    <numFmt numFmtId="179" formatCode="0.00_);[Red]\(0.00\)"/>
    <numFmt numFmtId="180" formatCode="0.0_ "/>
  </numFmts>
  <fonts count="87"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</font>
    <font>
      <b/>
      <sz val="14"/>
      <name val="宋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Tahoma"/>
      <charset val="134"/>
    </font>
    <font>
      <sz val="11"/>
      <name val="Tahoma"/>
      <charset val="134"/>
    </font>
    <font>
      <b/>
      <sz val="11"/>
      <color theme="1"/>
      <name val="Tahoma"/>
      <charset val="134"/>
    </font>
    <font>
      <sz val="28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黑体"/>
      <charset val="134"/>
    </font>
    <font>
      <b/>
      <sz val="14"/>
      <name val="Times New Roman"/>
      <charset val="134"/>
    </font>
    <font>
      <b/>
      <sz val="14"/>
      <color theme="1"/>
      <name val="Times New Roman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color rgb="FFFF0000"/>
      <name val="Tahoma"/>
      <charset val="134"/>
    </font>
    <font>
      <sz val="22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4"/>
      <color theme="1"/>
      <name val="宋体"/>
      <charset val="134"/>
    </font>
    <font>
      <b/>
      <sz val="14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楷体"/>
      <charset val="134"/>
    </font>
    <font>
      <b/>
      <sz val="14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8"/>
      <color theme="1"/>
      <name val="Tahoma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9"/>
      <name val="宋体"/>
      <charset val="134"/>
    </font>
    <font>
      <sz val="6"/>
      <color theme="1"/>
      <name val="宋体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64" fillId="0" borderId="0" applyFon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8" fillId="9" borderId="33" applyNumberFormat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0" fontId="67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13" borderId="34" applyNumberFormat="0" applyFont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35" applyNumberFormat="0" applyFill="0" applyAlignment="0" applyProtection="0">
      <alignment vertical="center"/>
    </xf>
    <xf numFmtId="0" fontId="78" fillId="0" borderId="35" applyNumberFormat="0" applyFill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3" fillId="0" borderId="36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9" fillId="17" borderId="37" applyNumberFormat="0" applyAlignment="0" applyProtection="0">
      <alignment vertical="center"/>
    </xf>
    <xf numFmtId="0" fontId="80" fillId="17" borderId="33" applyNumberFormat="0" applyAlignment="0" applyProtection="0">
      <alignment vertical="center"/>
    </xf>
    <xf numFmtId="0" fontId="81" fillId="18" borderId="38" applyNumberFormat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82" fillId="0" borderId="39" applyNumberFormat="0" applyFill="0" applyAlignment="0" applyProtection="0">
      <alignment vertical="center"/>
    </xf>
    <xf numFmtId="0" fontId="83" fillId="0" borderId="40" applyNumberFormat="0" applyFill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0" fillId="0" borderId="0"/>
  </cellStyleXfs>
  <cellXfs count="39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177" fontId="6" fillId="3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0" fillId="0" borderId="0" xfId="0" applyFill="1"/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left" vertical="center"/>
    </xf>
    <xf numFmtId="177" fontId="16" fillId="0" borderId="1" xfId="0" applyNumberFormat="1" applyFont="1" applyFill="1" applyBorder="1" applyAlignment="1">
      <alignment horizontal="center" vertical="center"/>
    </xf>
    <xf numFmtId="179" fontId="16" fillId="0" borderId="1" xfId="0" applyNumberFormat="1" applyFont="1" applyFill="1" applyBorder="1" applyAlignment="1">
      <alignment horizontal="left" vertical="center" wrapText="1"/>
    </xf>
    <xf numFmtId="0" fontId="17" fillId="0" borderId="1" xfId="49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19" fillId="0" borderId="1" xfId="49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20" fillId="0" borderId="1" xfId="49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9" fillId="0" borderId="1" xfId="49" applyFont="1" applyFill="1" applyBorder="1" applyAlignment="1">
      <alignment horizontal="left" vertical="center" wrapText="1"/>
    </xf>
    <xf numFmtId="0" fontId="20" fillId="0" borderId="2" xfId="49" applyFont="1" applyFill="1" applyBorder="1" applyAlignment="1">
      <alignment horizontal="center" vertical="center"/>
    </xf>
    <xf numFmtId="0" fontId="20" fillId="0" borderId="6" xfId="49" applyFont="1" applyFill="1" applyBorder="1" applyAlignment="1">
      <alignment horizontal="center" vertical="center"/>
    </xf>
    <xf numFmtId="0" fontId="20" fillId="0" borderId="7" xfId="49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7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vertical="center"/>
    </xf>
    <xf numFmtId="177" fontId="22" fillId="0" borderId="1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3" fillId="0" borderId="1" xfId="49" applyFont="1" applyFill="1" applyBorder="1" applyAlignment="1">
      <alignment horizontal="left" vertical="center"/>
    </xf>
    <xf numFmtId="177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5" fillId="0" borderId="1" xfId="49" applyFont="1" applyFill="1" applyBorder="1" applyAlignment="1">
      <alignment horizontal="left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25" fillId="0" borderId="1" xfId="49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179" fontId="26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177" fontId="2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/>
    <xf numFmtId="0" fontId="0" fillId="0" borderId="1" xfId="0" applyFont="1" applyBorder="1"/>
    <xf numFmtId="177" fontId="27" fillId="0" borderId="1" xfId="0" applyNumberFormat="1" applyFont="1" applyFill="1" applyBorder="1"/>
    <xf numFmtId="0" fontId="28" fillId="0" borderId="0" xfId="0" applyFont="1" applyFill="1"/>
    <xf numFmtId="0" fontId="29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0" fontId="31" fillId="0" borderId="1" xfId="0" applyNumberFormat="1" applyFont="1" applyFill="1" applyBorder="1" applyAlignment="1">
      <alignment horizontal="center" vertical="center"/>
    </xf>
    <xf numFmtId="0" fontId="15" fillId="0" borderId="1" xfId="49" applyNumberFormat="1" applyFont="1" applyFill="1" applyBorder="1" applyAlignment="1">
      <alignment horizontal="left" vertical="center"/>
    </xf>
    <xf numFmtId="180" fontId="3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9" fillId="0" borderId="0" xfId="0" applyFont="1" applyFill="1"/>
    <xf numFmtId="0" fontId="31" fillId="0" borderId="0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178" fontId="14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vertical="center" wrapText="1"/>
    </xf>
    <xf numFmtId="31" fontId="2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177" fontId="33" fillId="0" borderId="8" xfId="0" applyNumberFormat="1" applyFont="1" applyFill="1" applyBorder="1" applyAlignment="1">
      <alignment horizontal="center" vertical="center"/>
    </xf>
    <xf numFmtId="177" fontId="33" fillId="0" borderId="9" xfId="0" applyNumberFormat="1" applyFont="1" applyFill="1" applyBorder="1" applyAlignment="1">
      <alignment horizontal="center" vertical="center"/>
    </xf>
    <xf numFmtId="177" fontId="33" fillId="0" borderId="9" xfId="0" applyNumberFormat="1" applyFont="1" applyFill="1" applyBorder="1" applyAlignment="1">
      <alignment horizontal="center" vertical="center" wrapText="1"/>
    </xf>
    <xf numFmtId="177" fontId="33" fillId="0" borderId="10" xfId="0" applyNumberFormat="1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177" fontId="33" fillId="0" borderId="12" xfId="0" applyNumberFormat="1" applyFont="1" applyFill="1" applyBorder="1" applyAlignment="1">
      <alignment horizontal="center" vertical="center"/>
    </xf>
    <xf numFmtId="177" fontId="33" fillId="0" borderId="1" xfId="0" applyNumberFormat="1" applyFont="1" applyFill="1" applyBorder="1" applyAlignment="1">
      <alignment horizontal="center" vertical="center"/>
    </xf>
    <xf numFmtId="177" fontId="33" fillId="0" borderId="1" xfId="0" applyNumberFormat="1" applyFont="1" applyFill="1" applyBorder="1" applyAlignment="1">
      <alignment horizontal="center" vertical="center" wrapText="1"/>
    </xf>
    <xf numFmtId="177" fontId="33" fillId="0" borderId="13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177" fontId="33" fillId="0" borderId="13" xfId="0" applyNumberFormat="1" applyFont="1" applyFill="1" applyBorder="1" applyAlignment="1">
      <alignment horizontal="center" vertical="center"/>
    </xf>
    <xf numFmtId="0" fontId="34" fillId="0" borderId="12" xfId="0" applyFont="1" applyFill="1" applyBorder="1"/>
    <xf numFmtId="177" fontId="33" fillId="0" borderId="2" xfId="0" applyNumberFormat="1" applyFont="1" applyFill="1" applyBorder="1" applyAlignment="1">
      <alignment horizontal="center" vertical="center"/>
    </xf>
    <xf numFmtId="177" fontId="34" fillId="0" borderId="12" xfId="0" applyNumberFormat="1" applyFont="1" applyFill="1" applyBorder="1" applyAlignment="1">
      <alignment horizontal="left" vertical="center"/>
    </xf>
    <xf numFmtId="177" fontId="34" fillId="0" borderId="1" xfId="0" applyNumberFormat="1" applyFont="1" applyFill="1" applyBorder="1" applyAlignment="1">
      <alignment horizontal="center" vertical="center"/>
    </xf>
    <xf numFmtId="177" fontId="34" fillId="0" borderId="13" xfId="0" applyNumberFormat="1" applyFont="1" applyFill="1" applyBorder="1" applyAlignment="1">
      <alignment horizontal="center" vertical="center"/>
    </xf>
    <xf numFmtId="177" fontId="34" fillId="0" borderId="2" xfId="0" applyNumberFormat="1" applyFont="1" applyFill="1" applyBorder="1" applyAlignment="1">
      <alignment horizontal="center" vertical="center"/>
    </xf>
    <xf numFmtId="177" fontId="35" fillId="0" borderId="12" xfId="49" applyNumberFormat="1" applyFont="1" applyFill="1" applyBorder="1" applyAlignment="1">
      <alignment horizontal="left" vertical="center"/>
    </xf>
    <xf numFmtId="177" fontId="34" fillId="0" borderId="1" xfId="0" applyNumberFormat="1" applyFont="1" applyFill="1" applyBorder="1" applyAlignment="1">
      <alignment horizontal="left" vertical="center" wrapText="1"/>
    </xf>
    <xf numFmtId="58" fontId="34" fillId="0" borderId="1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177" fontId="35" fillId="0" borderId="14" xfId="49" applyNumberFormat="1" applyFont="1" applyFill="1" applyBorder="1" applyAlignment="1">
      <alignment horizontal="left" vertical="center"/>
    </xf>
    <xf numFmtId="177" fontId="34" fillId="0" borderId="15" xfId="0" applyNumberFormat="1" applyFont="1" applyFill="1" applyBorder="1" applyAlignment="1">
      <alignment horizontal="center" vertical="center"/>
    </xf>
    <xf numFmtId="177" fontId="34" fillId="0" borderId="15" xfId="0" applyNumberFormat="1" applyFont="1" applyFill="1" applyBorder="1" applyAlignment="1">
      <alignment horizontal="left" vertical="center" wrapText="1"/>
    </xf>
    <xf numFmtId="177" fontId="34" fillId="0" borderId="16" xfId="0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178" fontId="14" fillId="0" borderId="0" xfId="0" applyNumberFormat="1" applyFont="1" applyFill="1" applyBorder="1" applyAlignment="1">
      <alignment vertical="center"/>
    </xf>
    <xf numFmtId="178" fontId="14" fillId="0" borderId="0" xfId="0" applyNumberFormat="1" applyFont="1" applyFill="1" applyAlignment="1">
      <alignment horizontal="center" vertical="center"/>
    </xf>
    <xf numFmtId="178" fontId="14" fillId="0" borderId="0" xfId="0" applyNumberFormat="1" applyFont="1" applyFill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177" fontId="36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vertical="center"/>
    </xf>
    <xf numFmtId="0" fontId="34" fillId="0" borderId="1" xfId="0" applyNumberFormat="1" applyFont="1" applyFill="1" applyBorder="1" applyAlignment="1">
      <alignment horizontal="center" vertical="center"/>
    </xf>
    <xf numFmtId="0" fontId="15" fillId="0" borderId="12" xfId="49" applyFont="1" applyFill="1" applyBorder="1" applyAlignment="1">
      <alignment horizontal="left" vertical="center"/>
    </xf>
    <xf numFmtId="179" fontId="34" fillId="0" borderId="1" xfId="0" applyNumberFormat="1" applyFont="1" applyFill="1" applyBorder="1" applyAlignment="1">
      <alignment horizontal="left" vertical="center" wrapText="1"/>
    </xf>
    <xf numFmtId="58" fontId="37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177" fontId="34" fillId="0" borderId="1" xfId="0" applyNumberFormat="1" applyFont="1" applyFill="1" applyBorder="1" applyAlignment="1">
      <alignment horizontal="right" vertical="center"/>
    </xf>
    <xf numFmtId="177" fontId="34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right" vertical="center"/>
    </xf>
    <xf numFmtId="179" fontId="38" fillId="0" borderId="1" xfId="0" applyNumberFormat="1" applyFont="1" applyFill="1" applyBorder="1" applyAlignment="1">
      <alignment horizontal="left" vertical="center" wrapText="1"/>
    </xf>
    <xf numFmtId="0" fontId="15" fillId="0" borderId="14" xfId="49" applyFont="1" applyFill="1" applyBorder="1" applyAlignment="1">
      <alignment horizontal="left" vertical="center"/>
    </xf>
    <xf numFmtId="0" fontId="34" fillId="0" borderId="15" xfId="0" applyNumberFormat="1" applyFont="1" applyFill="1" applyBorder="1" applyAlignment="1">
      <alignment horizontal="center" vertical="center"/>
    </xf>
    <xf numFmtId="179" fontId="34" fillId="0" borderId="15" xfId="0" applyNumberFormat="1" applyFont="1" applyFill="1" applyBorder="1" applyAlignment="1">
      <alignment horizontal="left" vertical="center" wrapText="1"/>
    </xf>
    <xf numFmtId="0" fontId="37" fillId="0" borderId="15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177" fontId="34" fillId="0" borderId="13" xfId="0" applyNumberFormat="1" applyFont="1" applyFill="1" applyBorder="1" applyAlignment="1">
      <alignment vertical="center"/>
    </xf>
    <xf numFmtId="177" fontId="34" fillId="0" borderId="16" xfId="0" applyNumberFormat="1" applyFont="1" applyFill="1" applyBorder="1" applyAlignment="1">
      <alignment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49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/>
    </xf>
    <xf numFmtId="177" fontId="41" fillId="0" borderId="1" xfId="0" applyNumberFormat="1" applyFont="1" applyFill="1" applyBorder="1" applyAlignment="1">
      <alignment horizontal="center" vertical="center"/>
    </xf>
    <xf numFmtId="177" fontId="39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177" fontId="39" fillId="0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/>
    </xf>
    <xf numFmtId="0" fontId="6" fillId="6" borderId="1" xfId="0" applyNumberFormat="1" applyFont="1" applyFill="1" applyBorder="1" applyAlignment="1">
      <alignment horizontal="center" vertical="center"/>
    </xf>
    <xf numFmtId="177" fontId="6" fillId="6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vertical="center" wrapText="1"/>
    </xf>
    <xf numFmtId="179" fontId="8" fillId="0" borderId="1" xfId="0" applyNumberFormat="1" applyFont="1" applyFill="1" applyBorder="1" applyAlignment="1">
      <alignment horizontal="center" vertical="center"/>
    </xf>
    <xf numFmtId="0" fontId="5" fillId="6" borderId="1" xfId="49" applyFont="1" applyFill="1" applyBorder="1" applyAlignment="1">
      <alignment horizontal="left" vertical="center"/>
    </xf>
    <xf numFmtId="0" fontId="5" fillId="6" borderId="1" xfId="49" applyFont="1" applyFill="1" applyBorder="1" applyAlignment="1">
      <alignment horizontal="center" vertical="center"/>
    </xf>
    <xf numFmtId="177" fontId="5" fillId="6" borderId="1" xfId="49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27" fillId="0" borderId="1" xfId="0" applyNumberFormat="1" applyFont="1" applyBorder="1"/>
    <xf numFmtId="10" fontId="0" fillId="0" borderId="0" xfId="0" applyNumberFormat="1"/>
    <xf numFmtId="0" fontId="43" fillId="7" borderId="1" xfId="49" applyFont="1" applyFill="1" applyBorder="1" applyAlignment="1">
      <alignment horizontal="center" vertical="center"/>
    </xf>
    <xf numFmtId="0" fontId="41" fillId="7" borderId="1" xfId="0" applyNumberFormat="1" applyFont="1" applyFill="1" applyBorder="1" applyAlignment="1">
      <alignment horizontal="center" vertical="center"/>
    </xf>
    <xf numFmtId="177" fontId="41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  <xf numFmtId="180" fontId="41" fillId="7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39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43" fillId="0" borderId="1" xfId="49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180" fontId="41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180" fontId="41" fillId="0" borderId="5" xfId="0" applyNumberFormat="1" applyFont="1" applyFill="1" applyBorder="1" applyAlignment="1">
      <alignment horizontal="center" vertical="center"/>
    </xf>
    <xf numFmtId="177" fontId="41" fillId="0" borderId="5" xfId="0" applyNumberFormat="1" applyFont="1" applyFill="1" applyBorder="1" applyAlignment="1">
      <alignment horizontal="center" vertical="center"/>
    </xf>
    <xf numFmtId="178" fontId="2" fillId="0" borderId="18" xfId="0" applyNumberFormat="1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4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7" fillId="0" borderId="12" xfId="49" applyFont="1" applyFill="1" applyBorder="1" applyAlignment="1">
      <alignment horizontal="center" vertical="center"/>
    </xf>
    <xf numFmtId="0" fontId="7" fillId="0" borderId="12" xfId="49" applyFont="1" applyFill="1" applyBorder="1" applyAlignment="1">
      <alignment horizontal="left" vertical="center"/>
    </xf>
    <xf numFmtId="0" fontId="42" fillId="0" borderId="12" xfId="0" applyFont="1" applyFill="1" applyBorder="1" applyAlignment="1">
      <alignment vertical="center" wrapText="1"/>
    </xf>
    <xf numFmtId="0" fontId="5" fillId="0" borderId="12" xfId="49" applyFont="1" applyFill="1" applyBorder="1" applyAlignment="1">
      <alignment horizontal="left" vertical="center"/>
    </xf>
    <xf numFmtId="0" fontId="7" fillId="0" borderId="14" xfId="49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179" fontId="8" fillId="0" borderId="15" xfId="0" applyNumberFormat="1" applyFont="1" applyFill="1" applyBorder="1" applyAlignment="1">
      <alignment horizontal="center" vertical="center"/>
    </xf>
    <xf numFmtId="177" fontId="8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0" fillId="0" borderId="15" xfId="0" applyBorder="1"/>
    <xf numFmtId="177" fontId="8" fillId="0" borderId="22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39" fillId="0" borderId="23" xfId="0" applyFont="1" applyFill="1" applyBorder="1" applyAlignment="1">
      <alignment horizontal="center" vertical="center"/>
    </xf>
    <xf numFmtId="0" fontId="39" fillId="0" borderId="24" xfId="0" applyFont="1" applyFill="1" applyBorder="1" applyAlignment="1">
      <alignment horizontal="center" vertical="center"/>
    </xf>
    <xf numFmtId="177" fontId="39" fillId="0" borderId="3" xfId="0" applyNumberFormat="1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/>
    </xf>
    <xf numFmtId="177" fontId="39" fillId="0" borderId="5" xfId="0" applyNumberFormat="1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7" fillId="0" borderId="1" xfId="0" applyNumberFormat="1" applyFont="1" applyBorder="1"/>
    <xf numFmtId="0" fontId="8" fillId="0" borderId="13" xfId="0" applyNumberFormat="1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center" vertical="center"/>
    </xf>
    <xf numFmtId="0" fontId="27" fillId="0" borderId="13" xfId="0" applyNumberFormat="1" applyFont="1" applyFill="1" applyBorder="1"/>
    <xf numFmtId="0" fontId="8" fillId="0" borderId="16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/>
    </xf>
    <xf numFmtId="177" fontId="8" fillId="0" borderId="16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center" vertical="center"/>
    </xf>
    <xf numFmtId="177" fontId="8" fillId="0" borderId="26" xfId="0" applyNumberFormat="1" applyFont="1" applyFill="1" applyBorder="1" applyAlignment="1">
      <alignment horizontal="center" vertical="center"/>
    </xf>
    <xf numFmtId="0" fontId="7" fillId="0" borderId="27" xfId="49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79" fontId="8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78" fontId="3" fillId="0" borderId="0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179" fontId="46" fillId="0" borderId="1" xfId="0" applyNumberFormat="1" applyFont="1" applyFill="1" applyBorder="1" applyAlignment="1">
      <alignment horizontal="center" vertical="center"/>
    </xf>
    <xf numFmtId="176" fontId="46" fillId="0" borderId="1" xfId="0" applyNumberFormat="1" applyFont="1" applyFill="1" applyBorder="1" applyAlignment="1">
      <alignment horizontal="center" vertical="center"/>
    </xf>
    <xf numFmtId="179" fontId="48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left" vertical="center"/>
    </xf>
    <xf numFmtId="0" fontId="50" fillId="0" borderId="1" xfId="49" applyFont="1" applyFill="1" applyBorder="1" applyAlignment="1">
      <alignment horizontal="center" vertical="center"/>
    </xf>
    <xf numFmtId="179" fontId="51" fillId="0" borderId="1" xfId="0" applyNumberFormat="1" applyFont="1" applyFill="1" applyBorder="1" applyAlignment="1">
      <alignment horizontal="center" vertical="center" wrapText="1"/>
    </xf>
    <xf numFmtId="176" fontId="48" fillId="0" borderId="1" xfId="0" applyNumberFormat="1" applyFont="1" applyFill="1" applyBorder="1" applyAlignment="1">
      <alignment horizontal="center" vertical="center"/>
    </xf>
    <xf numFmtId="179" fontId="51" fillId="0" borderId="1" xfId="0" applyNumberFormat="1" applyFont="1" applyFill="1" applyBorder="1" applyAlignment="1">
      <alignment horizontal="left" vertical="center" wrapText="1"/>
    </xf>
    <xf numFmtId="176" fontId="0" fillId="0" borderId="1" xfId="0" applyNumberFormat="1" applyBorder="1"/>
    <xf numFmtId="179" fontId="51" fillId="0" borderId="1" xfId="0" applyNumberFormat="1" applyFont="1" applyFill="1" applyBorder="1" applyAlignment="1">
      <alignment horizontal="center" vertical="center" shrinkToFit="1"/>
    </xf>
    <xf numFmtId="0" fontId="52" fillId="0" borderId="1" xfId="49" applyFont="1" applyFill="1" applyBorder="1" applyAlignment="1">
      <alignment horizontal="left" vertical="center"/>
    </xf>
    <xf numFmtId="179" fontId="51" fillId="0" borderId="1" xfId="0" applyNumberFormat="1" applyFont="1" applyFill="1" applyBorder="1" applyAlignment="1">
      <alignment horizontal="center" vertical="center"/>
    </xf>
    <xf numFmtId="0" fontId="49" fillId="0" borderId="0" xfId="0" applyFont="1"/>
    <xf numFmtId="0" fontId="53" fillId="0" borderId="0" xfId="0" applyFont="1"/>
    <xf numFmtId="176" fontId="0" fillId="0" borderId="0" xfId="0" applyNumberFormat="1"/>
    <xf numFmtId="31" fontId="3" fillId="0" borderId="0" xfId="0" applyNumberFormat="1" applyFont="1" applyFill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179" fontId="49" fillId="0" borderId="1" xfId="0" applyNumberFormat="1" applyFont="1" applyFill="1" applyBorder="1" applyAlignment="1">
      <alignment horizontal="left" vertical="center" wrapText="1"/>
    </xf>
    <xf numFmtId="178" fontId="3" fillId="0" borderId="28" xfId="0" applyNumberFormat="1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 wrapText="1"/>
    </xf>
    <xf numFmtId="179" fontId="0" fillId="0" borderId="1" xfId="0" applyNumberFormat="1" applyBorder="1"/>
    <xf numFmtId="0" fontId="3" fillId="0" borderId="18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/>
    </xf>
    <xf numFmtId="178" fontId="3" fillId="0" borderId="18" xfId="0" applyNumberFormat="1" applyFont="1" applyFill="1" applyBorder="1" applyAlignment="1">
      <alignment horizontal="center" vertical="center"/>
    </xf>
    <xf numFmtId="0" fontId="46" fillId="0" borderId="29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 wrapText="1"/>
    </xf>
    <xf numFmtId="0" fontId="46" fillId="0" borderId="9" xfId="0" applyFont="1" applyFill="1" applyBorder="1" applyAlignment="1">
      <alignment horizontal="center" vertical="center"/>
    </xf>
    <xf numFmtId="0" fontId="46" fillId="0" borderId="20" xfId="0" applyFont="1" applyFill="1" applyBorder="1" applyAlignment="1">
      <alignment horizontal="center" vertical="center"/>
    </xf>
    <xf numFmtId="0" fontId="47" fillId="0" borderId="20" xfId="0" applyFont="1" applyFill="1" applyBorder="1" applyAlignment="1">
      <alignment horizontal="center" vertical="center"/>
    </xf>
    <xf numFmtId="179" fontId="46" fillId="0" borderId="5" xfId="0" applyNumberFormat="1" applyFont="1" applyFill="1" applyBorder="1" applyAlignment="1">
      <alignment horizontal="center" vertical="center"/>
    </xf>
    <xf numFmtId="0" fontId="49" fillId="0" borderId="20" xfId="0" applyFont="1" applyFill="1" applyBorder="1" applyAlignment="1">
      <alignment horizontal="left" vertical="center"/>
    </xf>
    <xf numFmtId="0" fontId="50" fillId="0" borderId="12" xfId="49" applyFont="1" applyFill="1" applyBorder="1" applyAlignment="1">
      <alignment horizontal="center" vertical="center"/>
    </xf>
    <xf numFmtId="179" fontId="0" fillId="0" borderId="0" xfId="0" applyNumberFormat="1"/>
    <xf numFmtId="0" fontId="52" fillId="0" borderId="27" xfId="49" applyFont="1" applyFill="1" applyBorder="1" applyAlignment="1">
      <alignment horizontal="left" vertical="center"/>
    </xf>
    <xf numFmtId="179" fontId="48" fillId="0" borderId="3" xfId="0" applyNumberFormat="1" applyFont="1" applyFill="1" applyBorder="1" applyAlignment="1">
      <alignment horizontal="center" vertical="center"/>
    </xf>
    <xf numFmtId="0" fontId="50" fillId="0" borderId="27" xfId="49" applyFont="1" applyFill="1" applyBorder="1" applyAlignment="1">
      <alignment horizontal="center" vertical="center"/>
    </xf>
    <xf numFmtId="179" fontId="51" fillId="0" borderId="3" xfId="0" applyNumberFormat="1" applyFont="1" applyFill="1" applyBorder="1" applyAlignment="1">
      <alignment horizontal="center" vertical="center"/>
    </xf>
    <xf numFmtId="0" fontId="50" fillId="0" borderId="14" xfId="49" applyFont="1" applyFill="1" applyBorder="1" applyAlignment="1">
      <alignment horizontal="center" vertical="center"/>
    </xf>
    <xf numFmtId="179" fontId="48" fillId="0" borderId="15" xfId="0" applyNumberFormat="1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179" fontId="46" fillId="0" borderId="26" xfId="0" applyNumberFormat="1" applyFont="1" applyFill="1" applyBorder="1" applyAlignment="1">
      <alignment horizontal="center" vertical="center"/>
    </xf>
    <xf numFmtId="179" fontId="48" fillId="0" borderId="13" xfId="0" applyNumberFormat="1" applyFont="1" applyFill="1" applyBorder="1" applyAlignment="1">
      <alignment horizontal="center" vertical="center"/>
    </xf>
    <xf numFmtId="179" fontId="48" fillId="0" borderId="25" xfId="0" applyNumberFormat="1" applyFont="1" applyFill="1" applyBorder="1" applyAlignment="1">
      <alignment horizontal="center" vertical="center"/>
    </xf>
    <xf numFmtId="179" fontId="48" fillId="0" borderId="1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177" fontId="48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center" vertical="center" shrinkToFit="1"/>
    </xf>
    <xf numFmtId="0" fontId="48" fillId="0" borderId="3" xfId="0" applyFont="1" applyFill="1" applyBorder="1" applyAlignment="1">
      <alignment horizontal="center" vertical="center"/>
    </xf>
    <xf numFmtId="177" fontId="48" fillId="0" borderId="3" xfId="0" applyNumberFormat="1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48" fillId="0" borderId="15" xfId="0" applyFont="1" applyFill="1" applyBorder="1" applyAlignment="1">
      <alignment horizontal="center" vertical="center"/>
    </xf>
    <xf numFmtId="177" fontId="48" fillId="0" borderId="15" xfId="0" applyNumberFormat="1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center" vertical="center"/>
    </xf>
    <xf numFmtId="177" fontId="48" fillId="0" borderId="13" xfId="0" applyNumberFormat="1" applyFont="1" applyFill="1" applyBorder="1" applyAlignment="1">
      <alignment horizontal="center" vertical="center"/>
    </xf>
    <xf numFmtId="0" fontId="48" fillId="0" borderId="25" xfId="0" applyFont="1" applyFill="1" applyBorder="1" applyAlignment="1">
      <alignment horizontal="center" vertical="center"/>
    </xf>
    <xf numFmtId="0" fontId="48" fillId="0" borderId="16" xfId="0" applyFont="1" applyFill="1" applyBorder="1" applyAlignment="1">
      <alignment horizontal="center" vertical="center"/>
    </xf>
    <xf numFmtId="0" fontId="54" fillId="0" borderId="20" xfId="0" applyFont="1" applyFill="1" applyBorder="1" applyAlignment="1">
      <alignment horizontal="left" vertical="center"/>
    </xf>
    <xf numFmtId="0" fontId="55" fillId="0" borderId="12" xfId="49" applyFont="1" applyFill="1" applyBorder="1" applyAlignment="1">
      <alignment horizontal="center" vertical="center"/>
    </xf>
    <xf numFmtId="0" fontId="55" fillId="0" borderId="12" xfId="49" applyFont="1" applyFill="1" applyBorder="1" applyAlignment="1">
      <alignment horizontal="left" vertical="center"/>
    </xf>
    <xf numFmtId="0" fontId="56" fillId="0" borderId="27" xfId="49" applyFont="1" applyFill="1" applyBorder="1" applyAlignment="1">
      <alignment horizontal="left" vertical="center"/>
    </xf>
    <xf numFmtId="0" fontId="55" fillId="0" borderId="27" xfId="49" applyFont="1" applyFill="1" applyBorder="1" applyAlignment="1">
      <alignment horizontal="center" vertical="center"/>
    </xf>
    <xf numFmtId="0" fontId="55" fillId="0" borderId="14" xfId="49" applyFont="1" applyFill="1" applyBorder="1" applyAlignment="1">
      <alignment horizontal="center" vertical="center"/>
    </xf>
    <xf numFmtId="177" fontId="51" fillId="0" borderId="1" xfId="0" applyNumberFormat="1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center" vertical="center" wrapText="1"/>
    </xf>
    <xf numFmtId="177" fontId="51" fillId="0" borderId="1" xfId="0" applyNumberFormat="1" applyFont="1" applyFill="1" applyBorder="1" applyAlignment="1">
      <alignment horizontal="center" vertical="center"/>
    </xf>
    <xf numFmtId="177" fontId="51" fillId="0" borderId="15" xfId="0" applyNumberFormat="1" applyFont="1" applyFill="1" applyBorder="1" applyAlignment="1">
      <alignment horizontal="center" vertical="center"/>
    </xf>
    <xf numFmtId="0" fontId="57" fillId="0" borderId="0" xfId="0" applyFont="1"/>
    <xf numFmtId="0" fontId="5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6" fillId="0" borderId="8" xfId="0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center" vertical="center"/>
    </xf>
    <xf numFmtId="0" fontId="46" fillId="0" borderId="31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vertical="center"/>
    </xf>
    <xf numFmtId="0" fontId="48" fillId="0" borderId="5" xfId="0" applyFont="1" applyFill="1" applyBorder="1" applyAlignment="1">
      <alignment horizontal="center" vertical="center"/>
    </xf>
    <xf numFmtId="0" fontId="46" fillId="0" borderId="32" xfId="0" applyFont="1" applyFill="1" applyBorder="1" applyAlignment="1">
      <alignment horizontal="center" vertical="center"/>
    </xf>
    <xf numFmtId="31" fontId="3" fillId="0" borderId="28" xfId="0" applyNumberFormat="1" applyFont="1" applyFill="1" applyBorder="1" applyAlignment="1">
      <alignment horizontal="center" vertical="center"/>
    </xf>
    <xf numFmtId="0" fontId="46" fillId="0" borderId="23" xfId="0" applyFont="1" applyFill="1" applyBorder="1" applyAlignment="1">
      <alignment horizontal="center" vertical="center"/>
    </xf>
    <xf numFmtId="0" fontId="46" fillId="0" borderId="24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55" fillId="0" borderId="1" xfId="49" applyFont="1" applyFill="1" applyBorder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60" fillId="0" borderId="1" xfId="49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62" fillId="0" borderId="1" xfId="49" applyFont="1" applyFill="1" applyBorder="1" applyAlignment="1">
      <alignment horizontal="center" vertical="center"/>
    </xf>
    <xf numFmtId="0" fontId="63" fillId="0" borderId="5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horizontal="center" vertical="center"/>
    </xf>
    <xf numFmtId="177" fontId="63" fillId="0" borderId="1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65" fillId="0" borderId="8" xfId="0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66" fillId="0" borderId="12" xfId="49" applyFont="1" applyBorder="1" applyAlignment="1">
      <alignment horizontal="center" vertical="center"/>
    </xf>
    <xf numFmtId="0" fontId="66" fillId="0" borderId="1" xfId="49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0" fontId="65" fillId="0" borderId="13" xfId="0" applyFont="1" applyBorder="1"/>
    <xf numFmtId="0" fontId="66" fillId="0" borderId="14" xfId="49" applyFont="1" applyBorder="1" applyAlignment="1">
      <alignment horizontal="center" vertical="center"/>
    </xf>
    <xf numFmtId="0" fontId="66" fillId="0" borderId="15" xfId="49" applyFont="1" applyBorder="1" applyAlignment="1">
      <alignment horizontal="center" vertical="center"/>
    </xf>
    <xf numFmtId="0" fontId="65" fillId="0" borderId="15" xfId="0" applyFont="1" applyBorder="1" applyAlignment="1">
      <alignment horizontal="center" vertical="center"/>
    </xf>
    <xf numFmtId="0" fontId="65" fillId="0" borderId="15" xfId="0" applyFont="1" applyBorder="1"/>
    <xf numFmtId="0" fontId="65" fillId="0" borderId="16" xfId="0" applyFont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zoomScale="130" zoomScaleNormal="130" workbookViewId="0">
      <selection activeCell="N14" sqref="N14"/>
    </sheetView>
  </sheetViews>
  <sheetFormatPr defaultColWidth="9" defaultRowHeight="14.25" outlineLevelCol="4"/>
  <cols>
    <col min="1" max="1" width="19.75" customWidth="1"/>
    <col min="2" max="5" width="23.25" customWidth="1"/>
  </cols>
  <sheetData>
    <row r="1" ht="28" customHeight="1" spans="1:5">
      <c r="A1" s="368" t="s">
        <v>0</v>
      </c>
      <c r="B1" s="368"/>
      <c r="C1" s="368"/>
      <c r="D1" s="368"/>
      <c r="E1" s="368"/>
    </row>
    <row r="2" ht="17.15" customHeight="1" spans="1:5">
      <c r="A2" s="369" t="s">
        <v>1</v>
      </c>
      <c r="B2" s="369"/>
      <c r="C2" s="385" t="s">
        <v>2</v>
      </c>
      <c r="D2" s="385"/>
      <c r="E2" s="386" t="s">
        <v>3</v>
      </c>
    </row>
    <row r="3" ht="24" customHeight="1" spans="1:5">
      <c r="A3" s="387" t="s">
        <v>4</v>
      </c>
      <c r="B3" s="388" t="s">
        <v>5</v>
      </c>
      <c r="C3" s="388" t="s">
        <v>6</v>
      </c>
      <c r="D3" s="388" t="s">
        <v>7</v>
      </c>
      <c r="E3" s="389" t="s">
        <v>8</v>
      </c>
    </row>
    <row r="4" ht="21" customHeight="1" spans="1:5">
      <c r="A4" s="390" t="s">
        <v>9</v>
      </c>
      <c r="B4" s="391"/>
      <c r="C4" s="392"/>
      <c r="D4" s="392"/>
      <c r="E4" s="393"/>
    </row>
    <row r="5" ht="21" customHeight="1" spans="1:5">
      <c r="A5" s="390" t="s">
        <v>10</v>
      </c>
      <c r="B5" s="391"/>
      <c r="C5" s="392"/>
      <c r="D5" s="392"/>
      <c r="E5" s="393"/>
    </row>
    <row r="6" ht="21" customHeight="1" spans="1:5">
      <c r="A6" s="390" t="s">
        <v>11</v>
      </c>
      <c r="B6" s="391"/>
      <c r="C6" s="392"/>
      <c r="D6" s="392"/>
      <c r="E6" s="393"/>
    </row>
    <row r="7" ht="21" customHeight="1" spans="1:5">
      <c r="A7" s="390" t="s">
        <v>12</v>
      </c>
      <c r="B7" s="391"/>
      <c r="C7" s="392"/>
      <c r="D7" s="392"/>
      <c r="E7" s="393"/>
    </row>
    <row r="8" ht="21" customHeight="1" spans="1:5">
      <c r="A8" s="390" t="s">
        <v>13</v>
      </c>
      <c r="B8" s="391"/>
      <c r="C8" s="392"/>
      <c r="D8" s="392"/>
      <c r="E8" s="393"/>
    </row>
    <row r="9" ht="21" customHeight="1" spans="1:5">
      <c r="A9" s="390" t="s">
        <v>14</v>
      </c>
      <c r="B9" s="391"/>
      <c r="C9" s="392"/>
      <c r="D9" s="392"/>
      <c r="E9" s="393"/>
    </row>
    <row r="10" ht="21" customHeight="1" spans="1:5">
      <c r="A10" s="390" t="s">
        <v>15</v>
      </c>
      <c r="B10" s="391"/>
      <c r="C10" s="392"/>
      <c r="D10" s="392"/>
      <c r="E10" s="393"/>
    </row>
    <row r="11" ht="21" customHeight="1" spans="1:5">
      <c r="A11" s="390" t="s">
        <v>16</v>
      </c>
      <c r="B11" s="391"/>
      <c r="C11" s="392"/>
      <c r="D11" s="392"/>
      <c r="E11" s="393"/>
    </row>
    <row r="12" ht="21" customHeight="1" spans="1:5">
      <c r="A12" s="390" t="s">
        <v>17</v>
      </c>
      <c r="B12" s="391"/>
      <c r="C12" s="392"/>
      <c r="D12" s="392"/>
      <c r="E12" s="393"/>
    </row>
    <row r="13" ht="21" customHeight="1" spans="1:5">
      <c r="A13" s="390" t="s">
        <v>18</v>
      </c>
      <c r="B13" s="391"/>
      <c r="C13" s="392"/>
      <c r="D13" s="392"/>
      <c r="E13" s="393"/>
    </row>
    <row r="14" ht="21" customHeight="1" spans="1:5">
      <c r="A14" s="390" t="s">
        <v>19</v>
      </c>
      <c r="B14" s="391"/>
      <c r="C14" s="392"/>
      <c r="D14" s="392"/>
      <c r="E14" s="393"/>
    </row>
    <row r="15" ht="21" customHeight="1" spans="1:5">
      <c r="A15" s="390" t="s">
        <v>20</v>
      </c>
      <c r="B15" s="391"/>
      <c r="C15" s="392"/>
      <c r="D15" s="392"/>
      <c r="E15" s="393"/>
    </row>
    <row r="16" ht="21" customHeight="1" spans="1:5">
      <c r="A16" s="390" t="s">
        <v>21</v>
      </c>
      <c r="B16" s="391"/>
      <c r="C16" s="392"/>
      <c r="D16" s="392"/>
      <c r="E16" s="393"/>
    </row>
    <row r="17" ht="21" customHeight="1" spans="1:5">
      <c r="A17" s="390" t="s">
        <v>22</v>
      </c>
      <c r="B17" s="391"/>
      <c r="C17" s="392"/>
      <c r="D17" s="392"/>
      <c r="E17" s="393"/>
    </row>
    <row r="18" ht="21" customHeight="1" spans="1:5">
      <c r="A18" s="390" t="s">
        <v>23</v>
      </c>
      <c r="B18" s="391"/>
      <c r="C18" s="392"/>
      <c r="D18" s="392"/>
      <c r="E18" s="393"/>
    </row>
    <row r="19" ht="21" customHeight="1" spans="1:5">
      <c r="A19" s="390" t="s">
        <v>24</v>
      </c>
      <c r="B19" s="391"/>
      <c r="C19" s="392"/>
      <c r="D19" s="392"/>
      <c r="E19" s="393"/>
    </row>
    <row r="20" ht="21" customHeight="1" spans="1:5">
      <c r="A20" s="390" t="s">
        <v>25</v>
      </c>
      <c r="B20" s="391"/>
      <c r="C20" s="392"/>
      <c r="D20" s="392"/>
      <c r="E20" s="393"/>
    </row>
    <row r="21" ht="21" customHeight="1" spans="1:5">
      <c r="A21" s="390" t="s">
        <v>26</v>
      </c>
      <c r="B21" s="391"/>
      <c r="C21" s="392"/>
      <c r="D21" s="392"/>
      <c r="E21" s="393"/>
    </row>
    <row r="22" ht="21" customHeight="1" spans="1:5">
      <c r="A22" s="394" t="s">
        <v>27</v>
      </c>
      <c r="B22" s="395"/>
      <c r="C22" s="396"/>
      <c r="D22" s="397"/>
      <c r="E22" s="398"/>
    </row>
  </sheetData>
  <mergeCells count="2">
    <mergeCell ref="A1:E1"/>
    <mergeCell ref="C2:D2"/>
  </mergeCells>
  <pageMargins left="1.10138888888889" right="0.700694444444445" top="0.751388888888889" bottom="0.55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Zeros="0" zoomScale="205" zoomScaleNormal="205" workbookViewId="0">
      <selection activeCell="N14" sqref="N14"/>
    </sheetView>
  </sheetViews>
  <sheetFormatPr defaultColWidth="9" defaultRowHeight="14.25" outlineLevelCol="5"/>
  <cols>
    <col min="1" max="1" width="14.8333333333333" customWidth="1"/>
    <col min="2" max="2" width="11.25" customWidth="1"/>
    <col min="3" max="3" width="12" customWidth="1"/>
    <col min="4" max="4" width="13.5833333333333" customWidth="1"/>
    <col min="5" max="5" width="14.0833333333333" customWidth="1"/>
    <col min="6" max="6" width="12.75" customWidth="1"/>
  </cols>
  <sheetData>
    <row r="1" ht="31" customHeight="1" spans="1:6">
      <c r="A1" s="268" t="s">
        <v>0</v>
      </c>
      <c r="B1" s="268"/>
      <c r="C1" s="268"/>
      <c r="D1" s="268"/>
      <c r="E1" s="268"/>
      <c r="F1" s="268"/>
    </row>
    <row r="2" spans="1:6">
      <c r="A2" s="352" t="s">
        <v>28</v>
      </c>
      <c r="B2" s="352"/>
      <c r="C2" s="291">
        <v>43259</v>
      </c>
      <c r="D2" s="291"/>
      <c r="E2" s="16"/>
      <c r="F2" s="16" t="s">
        <v>3</v>
      </c>
    </row>
    <row r="3" ht="17.15" customHeight="1" spans="1:6">
      <c r="A3" s="376" t="s">
        <v>29</v>
      </c>
      <c r="B3" s="377" t="s">
        <v>30</v>
      </c>
      <c r="C3" s="378"/>
      <c r="D3" s="376" t="s">
        <v>31</v>
      </c>
      <c r="E3" s="376" t="s">
        <v>7</v>
      </c>
      <c r="F3" s="376" t="s">
        <v>8</v>
      </c>
    </row>
    <row r="4" ht="17.15" customHeight="1" spans="1:6">
      <c r="A4" s="376"/>
      <c r="B4" s="379"/>
      <c r="C4" s="380" t="s">
        <v>32</v>
      </c>
      <c r="D4" s="376"/>
      <c r="E4" s="376"/>
      <c r="F4" s="376"/>
    </row>
    <row r="5" ht="17.15" customHeight="1" spans="1:6">
      <c r="A5" s="381" t="s">
        <v>33</v>
      </c>
      <c r="B5" s="382">
        <f>1454.26+176+664+65</f>
        <v>2359.26</v>
      </c>
      <c r="C5" s="383">
        <v>176</v>
      </c>
      <c r="D5" s="383">
        <f>176+1405.5+6.555</f>
        <v>1588.055</v>
      </c>
      <c r="E5" s="384">
        <f>D5/B5*100</f>
        <v>67.3115722726618</v>
      </c>
      <c r="F5" s="383"/>
    </row>
    <row r="6" ht="17.15" customHeight="1" spans="1:6">
      <c r="A6" s="381" t="s">
        <v>34</v>
      </c>
      <c r="B6" s="383">
        <v>5</v>
      </c>
      <c r="C6" s="383"/>
      <c r="D6" s="383">
        <v>4.4721</v>
      </c>
      <c r="E6" s="384">
        <f t="shared" ref="E6:E18" si="0">D6/B6*100</f>
        <v>89.442</v>
      </c>
      <c r="F6" s="383"/>
    </row>
    <row r="7" ht="17.15" customHeight="1" spans="1:6">
      <c r="A7" s="381" t="s">
        <v>35</v>
      </c>
      <c r="B7" s="383">
        <v>3215.2</v>
      </c>
      <c r="C7" s="383"/>
      <c r="D7" s="383">
        <v>1986</v>
      </c>
      <c r="E7" s="384">
        <f t="shared" si="0"/>
        <v>61.7690967902463</v>
      </c>
      <c r="F7" s="383"/>
    </row>
    <row r="8" ht="17.15" customHeight="1" spans="1:6">
      <c r="A8" s="381" t="s">
        <v>36</v>
      </c>
      <c r="B8" s="383">
        <v>481</v>
      </c>
      <c r="C8" s="383"/>
      <c r="D8" s="383">
        <f>262.5+30.35</f>
        <v>292.85</v>
      </c>
      <c r="E8" s="384">
        <f t="shared" si="0"/>
        <v>60.8835758835759</v>
      </c>
      <c r="F8" s="383"/>
    </row>
    <row r="9" ht="17.15" customHeight="1" spans="1:6">
      <c r="A9" s="381" t="s">
        <v>37</v>
      </c>
      <c r="B9" s="383">
        <f>100+574.9</f>
        <v>674.9</v>
      </c>
      <c r="C9" s="383">
        <f>100</f>
        <v>100</v>
      </c>
      <c r="D9" s="383">
        <v>130</v>
      </c>
      <c r="E9" s="384">
        <f t="shared" si="0"/>
        <v>19.2621129056156</v>
      </c>
      <c r="F9" s="383"/>
    </row>
    <row r="10" ht="17.15" customHeight="1" spans="1:6">
      <c r="A10" s="381" t="s">
        <v>38</v>
      </c>
      <c r="B10" s="383">
        <f>166+1132.83</f>
        <v>1298.83</v>
      </c>
      <c r="C10" s="383">
        <v>166</v>
      </c>
      <c r="D10" s="383">
        <f>192.0648+15</f>
        <v>207.0648</v>
      </c>
      <c r="E10" s="384">
        <f t="shared" si="0"/>
        <v>15.942409707198</v>
      </c>
      <c r="F10" s="383"/>
    </row>
    <row r="11" ht="17.15" customHeight="1" spans="1:6">
      <c r="A11" s="381" t="s">
        <v>39</v>
      </c>
      <c r="B11" s="383">
        <v>78.87</v>
      </c>
      <c r="C11" s="383"/>
      <c r="D11" s="383">
        <v>9.12</v>
      </c>
      <c r="E11" s="384">
        <f t="shared" si="0"/>
        <v>11.5633320654241</v>
      </c>
      <c r="F11" s="383"/>
    </row>
    <row r="12" ht="17.15" customHeight="1" spans="1:6">
      <c r="A12" s="381" t="s">
        <v>40</v>
      </c>
      <c r="B12" s="383">
        <v>1023.48</v>
      </c>
      <c r="C12" s="383"/>
      <c r="D12" s="383">
        <v>34.31</v>
      </c>
      <c r="E12" s="384">
        <f t="shared" si="0"/>
        <v>3.35228827138781</v>
      </c>
      <c r="F12" s="383"/>
    </row>
    <row r="13" ht="17.15" customHeight="1" spans="1:6">
      <c r="A13" s="381" t="s">
        <v>41</v>
      </c>
      <c r="B13" s="383">
        <f>500+1738.17</f>
        <v>2238.17</v>
      </c>
      <c r="C13" s="383">
        <v>500</v>
      </c>
      <c r="D13" s="383">
        <v>115.155</v>
      </c>
      <c r="E13" s="384">
        <f t="shared" si="0"/>
        <v>5.14505153764012</v>
      </c>
      <c r="F13" s="383"/>
    </row>
    <row r="14" ht="17.15" customHeight="1" spans="1:6">
      <c r="A14" s="381" t="s">
        <v>42</v>
      </c>
      <c r="B14" s="383">
        <v>88.19</v>
      </c>
      <c r="C14" s="383"/>
      <c r="D14" s="383"/>
      <c r="E14" s="384">
        <f t="shared" si="0"/>
        <v>0</v>
      </c>
      <c r="F14" s="383"/>
    </row>
    <row r="15" ht="17.15" customHeight="1" spans="1:6">
      <c r="A15" s="381" t="s">
        <v>43</v>
      </c>
      <c r="B15" s="383">
        <v>6</v>
      </c>
      <c r="C15" s="383"/>
      <c r="D15" s="383"/>
      <c r="E15" s="384">
        <f t="shared" si="0"/>
        <v>0</v>
      </c>
      <c r="F15" s="383"/>
    </row>
    <row r="16" ht="17.15" customHeight="1" spans="1:6">
      <c r="A16" s="381" t="s">
        <v>44</v>
      </c>
      <c r="B16" s="383">
        <v>90</v>
      </c>
      <c r="C16" s="383"/>
      <c r="D16" s="383"/>
      <c r="E16" s="384">
        <f t="shared" si="0"/>
        <v>0</v>
      </c>
      <c r="F16" s="383"/>
    </row>
    <row r="17" ht="17.15" customHeight="1" spans="1:6">
      <c r="A17" s="381" t="s">
        <v>45</v>
      </c>
      <c r="B17" s="383">
        <v>7.58</v>
      </c>
      <c r="C17" s="383"/>
      <c r="D17" s="383"/>
      <c r="E17" s="384">
        <f t="shared" si="0"/>
        <v>0</v>
      </c>
      <c r="F17" s="383"/>
    </row>
    <row r="18" ht="17.15" customHeight="1" spans="1:6">
      <c r="A18" s="381" t="s">
        <v>27</v>
      </c>
      <c r="B18" s="383">
        <f>SUM(B5:B17)</f>
        <v>11566.48</v>
      </c>
      <c r="C18" s="383">
        <f>SUM(C5:C17)</f>
        <v>942</v>
      </c>
      <c r="D18" s="383">
        <f>SUM(D5:D17)</f>
        <v>4367.0269</v>
      </c>
      <c r="E18" s="384">
        <f t="shared" si="0"/>
        <v>37.755885109385</v>
      </c>
      <c r="F18" s="383"/>
    </row>
  </sheetData>
  <sortState ref="A4:F16">
    <sortCondition ref="E4:E16" descending="1"/>
  </sortState>
  <mergeCells count="5">
    <mergeCell ref="A1:F1"/>
    <mergeCell ref="A2:B2"/>
    <mergeCell ref="C2:D2"/>
    <mergeCell ref="B3:C3"/>
    <mergeCell ref="A3:A4"/>
  </mergeCells>
  <pageMargins left="1.18055555555556" right="0.700694444444445" top="0.751388888888889" bottom="0.707638888888889" header="0.297916666666667" footer="0.297916666666667"/>
  <pageSetup paperSize="9" scale="14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N14" sqref="N14"/>
    </sheetView>
  </sheetViews>
  <sheetFormatPr defaultColWidth="9" defaultRowHeight="14.25" outlineLevelCol="4"/>
  <cols>
    <col min="1" max="5" width="15.8333333333333" customWidth="1"/>
  </cols>
  <sheetData>
    <row r="1" ht="54.75" customHeight="1" spans="1:5">
      <c r="A1" s="368" t="s">
        <v>46</v>
      </c>
      <c r="B1" s="368"/>
      <c r="C1" s="368"/>
      <c r="D1" s="368"/>
      <c r="E1" s="368"/>
    </row>
    <row r="2" spans="1:5">
      <c r="A2" s="369" t="s">
        <v>1</v>
      </c>
      <c r="B2" s="370" t="s">
        <v>47</v>
      </c>
      <c r="C2" s="370"/>
      <c r="D2" s="371"/>
      <c r="E2" s="371" t="s">
        <v>3</v>
      </c>
    </row>
    <row r="3" ht="33.75" customHeight="1" spans="1:5">
      <c r="A3" s="372" t="s">
        <v>29</v>
      </c>
      <c r="B3" s="372" t="s">
        <v>48</v>
      </c>
      <c r="C3" s="372" t="s">
        <v>49</v>
      </c>
      <c r="D3" s="372" t="s">
        <v>7</v>
      </c>
      <c r="E3" s="372" t="s">
        <v>50</v>
      </c>
    </row>
    <row r="4" ht="44.25" customHeight="1" spans="1:5">
      <c r="A4" s="373" t="s">
        <v>33</v>
      </c>
      <c r="B4" s="374">
        <v>1454.26</v>
      </c>
      <c r="C4" s="374">
        <v>1405.5</v>
      </c>
      <c r="D4" s="375">
        <f t="shared" ref="D4:D17" si="0">C4/B4*100</f>
        <v>96.6470919918034</v>
      </c>
      <c r="E4" s="374">
        <v>1</v>
      </c>
    </row>
    <row r="5" ht="44.25" customHeight="1" spans="1:5">
      <c r="A5" s="373" t="s">
        <v>34</v>
      </c>
      <c r="B5" s="374">
        <v>5</v>
      </c>
      <c r="C5" s="374">
        <v>4.4721</v>
      </c>
      <c r="D5" s="375">
        <f t="shared" si="0"/>
        <v>89.442</v>
      </c>
      <c r="E5" s="374">
        <v>2</v>
      </c>
    </row>
    <row r="6" ht="44.25" customHeight="1" spans="1:5">
      <c r="A6" s="373" t="s">
        <v>35</v>
      </c>
      <c r="B6" s="374">
        <v>3215.2</v>
      </c>
      <c r="C6" s="374">
        <v>1986</v>
      </c>
      <c r="D6" s="375">
        <f t="shared" si="0"/>
        <v>61.7690967902463</v>
      </c>
      <c r="E6" s="374">
        <v>3</v>
      </c>
    </row>
    <row r="7" ht="44.25" customHeight="1" spans="1:5">
      <c r="A7" s="373" t="s">
        <v>36</v>
      </c>
      <c r="B7" s="374">
        <v>481</v>
      </c>
      <c r="C7" s="374">
        <v>262.5</v>
      </c>
      <c r="D7" s="375">
        <f t="shared" si="0"/>
        <v>54.5738045738046</v>
      </c>
      <c r="E7" s="374">
        <v>4</v>
      </c>
    </row>
    <row r="8" ht="44.25" customHeight="1" spans="1:5">
      <c r="A8" s="373" t="s">
        <v>38</v>
      </c>
      <c r="B8" s="374">
        <v>1132.83</v>
      </c>
      <c r="C8" s="374">
        <f>27.1764+130</f>
        <v>157.1764</v>
      </c>
      <c r="D8" s="375">
        <f t="shared" si="0"/>
        <v>13.8746678671998</v>
      </c>
      <c r="E8" s="374">
        <v>5</v>
      </c>
    </row>
    <row r="9" ht="44.25" customHeight="1" spans="1:5">
      <c r="A9" s="373" t="s">
        <v>39</v>
      </c>
      <c r="B9" s="374">
        <v>78.87</v>
      </c>
      <c r="C9" s="374">
        <v>3.995</v>
      </c>
      <c r="D9" s="375">
        <f t="shared" si="0"/>
        <v>5.06529732471155</v>
      </c>
      <c r="E9" s="374">
        <v>6</v>
      </c>
    </row>
    <row r="10" ht="44.25" customHeight="1" spans="1:5">
      <c r="A10" s="373" t="s">
        <v>40</v>
      </c>
      <c r="B10" s="374">
        <v>1023.48</v>
      </c>
      <c r="C10" s="374">
        <v>34.31</v>
      </c>
      <c r="D10" s="375">
        <f t="shared" si="0"/>
        <v>3.35228827138781</v>
      </c>
      <c r="E10" s="374">
        <v>7</v>
      </c>
    </row>
    <row r="11" ht="44.25" customHeight="1" spans="1:5">
      <c r="A11" s="373" t="s">
        <v>41</v>
      </c>
      <c r="B11" s="374">
        <v>1738.17</v>
      </c>
      <c r="C11" s="374">
        <v>52.5</v>
      </c>
      <c r="D11" s="375">
        <f t="shared" si="0"/>
        <v>3.02041802585478</v>
      </c>
      <c r="E11" s="374">
        <v>8</v>
      </c>
    </row>
    <row r="12" ht="44.25" customHeight="1" spans="1:5">
      <c r="A12" s="373" t="s">
        <v>37</v>
      </c>
      <c r="B12" s="374">
        <v>574.9</v>
      </c>
      <c r="C12" s="374"/>
      <c r="D12" s="375">
        <f t="shared" si="0"/>
        <v>0</v>
      </c>
      <c r="E12" s="374">
        <v>9</v>
      </c>
    </row>
    <row r="13" ht="44.25" customHeight="1" spans="1:5">
      <c r="A13" s="373" t="s">
        <v>42</v>
      </c>
      <c r="B13" s="374">
        <v>88.19</v>
      </c>
      <c r="C13" s="374"/>
      <c r="D13" s="375">
        <f t="shared" si="0"/>
        <v>0</v>
      </c>
      <c r="E13" s="374">
        <v>9</v>
      </c>
    </row>
    <row r="14" ht="44.25" customHeight="1" spans="1:5">
      <c r="A14" s="373" t="s">
        <v>43</v>
      </c>
      <c r="B14" s="374">
        <v>6</v>
      </c>
      <c r="C14" s="374"/>
      <c r="D14" s="375">
        <f t="shared" si="0"/>
        <v>0</v>
      </c>
      <c r="E14" s="374">
        <v>9</v>
      </c>
    </row>
    <row r="15" ht="44.25" customHeight="1" spans="1:5">
      <c r="A15" s="373" t="s">
        <v>44</v>
      </c>
      <c r="B15" s="374">
        <v>90</v>
      </c>
      <c r="C15" s="374"/>
      <c r="D15" s="375">
        <f t="shared" si="0"/>
        <v>0</v>
      </c>
      <c r="E15" s="374">
        <v>9</v>
      </c>
    </row>
    <row r="16" ht="44.25" customHeight="1" spans="1:5">
      <c r="A16" s="373" t="s">
        <v>45</v>
      </c>
      <c r="B16" s="374">
        <v>7.58</v>
      </c>
      <c r="C16" s="374"/>
      <c r="D16" s="375">
        <f t="shared" si="0"/>
        <v>0</v>
      </c>
      <c r="E16" s="374">
        <v>9</v>
      </c>
    </row>
    <row r="17" ht="44.25" customHeight="1" spans="1:5">
      <c r="A17" s="373" t="s">
        <v>27</v>
      </c>
      <c r="B17" s="374">
        <f>SUM(B4:B16)</f>
        <v>9895.48</v>
      </c>
      <c r="C17" s="374">
        <f>SUM(C4:C16)</f>
        <v>3906.4535</v>
      </c>
      <c r="D17" s="375">
        <f t="shared" si="0"/>
        <v>39.4771501736146</v>
      </c>
      <c r="E17" s="374"/>
    </row>
  </sheetData>
  <mergeCells count="2">
    <mergeCell ref="A1:E1"/>
    <mergeCell ref="B2:C2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N14" sqref="N14"/>
    </sheetView>
  </sheetViews>
  <sheetFormatPr defaultColWidth="9" defaultRowHeight="14.25" outlineLevelCol="7"/>
  <cols>
    <col min="1" max="8" width="15.3333333333333" customWidth="1"/>
  </cols>
  <sheetData>
    <row r="1" ht="31" customHeight="1" spans="1:8">
      <c r="A1" s="268" t="s">
        <v>0</v>
      </c>
      <c r="B1" s="268"/>
      <c r="C1" s="268"/>
      <c r="D1" s="268"/>
      <c r="E1" s="268"/>
      <c r="F1" s="268"/>
      <c r="G1" s="268"/>
      <c r="H1" s="268"/>
    </row>
    <row r="2" spans="1:8">
      <c r="A2" s="352" t="s">
        <v>28</v>
      </c>
      <c r="B2" s="352"/>
      <c r="C2" s="362">
        <v>43259</v>
      </c>
      <c r="D2" s="362"/>
      <c r="E2" s="362"/>
      <c r="F2" s="362"/>
      <c r="G2" s="16"/>
      <c r="H2" s="16" t="s">
        <v>3</v>
      </c>
    </row>
    <row r="3" ht="19.5" customHeight="1" spans="1:8">
      <c r="A3" s="271" t="s">
        <v>29</v>
      </c>
      <c r="B3" s="363" t="s">
        <v>51</v>
      </c>
      <c r="C3" s="363"/>
      <c r="D3" s="363"/>
      <c r="E3" s="364"/>
      <c r="F3" s="365" t="s">
        <v>31</v>
      </c>
      <c r="G3" s="365" t="s">
        <v>7</v>
      </c>
      <c r="H3" s="365" t="s">
        <v>52</v>
      </c>
    </row>
    <row r="4" ht="19.5" customHeight="1" spans="1:8">
      <c r="A4" s="271"/>
      <c r="B4" s="357"/>
      <c r="C4" s="271" t="s">
        <v>53</v>
      </c>
      <c r="D4" s="271" t="s">
        <v>54</v>
      </c>
      <c r="E4" s="271" t="s">
        <v>55</v>
      </c>
      <c r="F4" s="296"/>
      <c r="G4" s="296"/>
      <c r="H4" s="296"/>
    </row>
    <row r="5" ht="26.25" customHeight="1" spans="1:8">
      <c r="A5" s="366" t="s">
        <v>33</v>
      </c>
      <c r="B5" s="360">
        <f>C5+D5+E5</f>
        <v>2359.26</v>
      </c>
      <c r="C5" s="360"/>
      <c r="D5" s="360">
        <f>1454.26+664+65</f>
        <v>2183.26</v>
      </c>
      <c r="E5" s="327">
        <v>176</v>
      </c>
      <c r="F5" s="327">
        <f>176+1405.5+6.555</f>
        <v>1588.055</v>
      </c>
      <c r="G5" s="326">
        <f>F5/B5*100</f>
        <v>67.3115722726618</v>
      </c>
      <c r="H5" s="327"/>
    </row>
    <row r="6" ht="26.25" customHeight="1" spans="1:8">
      <c r="A6" s="366" t="s">
        <v>34</v>
      </c>
      <c r="B6" s="360">
        <f t="shared" ref="B6:B18" si="0">C6+D6+E6</f>
        <v>5</v>
      </c>
      <c r="C6" s="327"/>
      <c r="D6" s="327">
        <v>5</v>
      </c>
      <c r="E6" s="327"/>
      <c r="F6" s="327">
        <v>4.4721</v>
      </c>
      <c r="G6" s="326">
        <f t="shared" ref="G6:G19" si="1">F6/B6*100</f>
        <v>89.442</v>
      </c>
      <c r="H6" s="327"/>
    </row>
    <row r="7" ht="26.25" customHeight="1" spans="1:8">
      <c r="A7" s="366" t="s">
        <v>35</v>
      </c>
      <c r="B7" s="360">
        <f t="shared" si="0"/>
        <v>3215.2</v>
      </c>
      <c r="C7" s="327"/>
      <c r="D7" s="327">
        <v>3215.2</v>
      </c>
      <c r="E7" s="327"/>
      <c r="F7" s="327">
        <v>1986</v>
      </c>
      <c r="G7" s="326">
        <f t="shared" si="1"/>
        <v>61.7690967902463</v>
      </c>
      <c r="H7" s="327"/>
    </row>
    <row r="8" ht="26.25" customHeight="1" spans="1:8">
      <c r="A8" s="366" t="s">
        <v>36</v>
      </c>
      <c r="B8" s="360">
        <f t="shared" si="0"/>
        <v>1078.95</v>
      </c>
      <c r="C8" s="327">
        <v>597.95</v>
      </c>
      <c r="D8" s="327">
        <v>481</v>
      </c>
      <c r="E8" s="327"/>
      <c r="F8" s="327">
        <f>262.5+30.35+334.31</f>
        <v>627.16</v>
      </c>
      <c r="G8" s="326">
        <f t="shared" si="1"/>
        <v>58.1268826173595</v>
      </c>
      <c r="H8" s="327"/>
    </row>
    <row r="9" ht="26.25" customHeight="1" spans="1:8">
      <c r="A9" s="366" t="s">
        <v>37</v>
      </c>
      <c r="B9" s="360">
        <f t="shared" si="0"/>
        <v>674.9</v>
      </c>
      <c r="C9" s="327"/>
      <c r="D9" s="327">
        <v>574.9</v>
      </c>
      <c r="E9" s="327">
        <f>100</f>
        <v>100</v>
      </c>
      <c r="F9" s="327">
        <v>130</v>
      </c>
      <c r="G9" s="326">
        <f t="shared" si="1"/>
        <v>19.2621129056156</v>
      </c>
      <c r="H9" s="327"/>
    </row>
    <row r="10" ht="26.25" customHeight="1" spans="1:8">
      <c r="A10" s="366" t="s">
        <v>38</v>
      </c>
      <c r="B10" s="360">
        <f t="shared" si="0"/>
        <v>1298.83</v>
      </c>
      <c r="C10" s="327"/>
      <c r="D10" s="327">
        <v>1132.83</v>
      </c>
      <c r="E10" s="327">
        <v>166</v>
      </c>
      <c r="F10" s="327">
        <f>192.0648+15</f>
        <v>207.0648</v>
      </c>
      <c r="G10" s="326">
        <f t="shared" si="1"/>
        <v>15.942409707198</v>
      </c>
      <c r="H10" s="327"/>
    </row>
    <row r="11" ht="26.25" customHeight="1" spans="1:8">
      <c r="A11" s="366" t="s">
        <v>39</v>
      </c>
      <c r="B11" s="360">
        <f t="shared" si="0"/>
        <v>78.87</v>
      </c>
      <c r="C11" s="327"/>
      <c r="D11" s="327">
        <v>78.87</v>
      </c>
      <c r="E11" s="327"/>
      <c r="F11" s="327">
        <v>9.12</v>
      </c>
      <c r="G11" s="326">
        <f t="shared" si="1"/>
        <v>11.5633320654241</v>
      </c>
      <c r="H11" s="327"/>
    </row>
    <row r="12" ht="26.25" customHeight="1" spans="1:8">
      <c r="A12" s="366" t="s">
        <v>40</v>
      </c>
      <c r="B12" s="360">
        <f t="shared" si="0"/>
        <v>1023.48</v>
      </c>
      <c r="C12" s="327"/>
      <c r="D12" s="327">
        <v>1023.48</v>
      </c>
      <c r="E12" s="327"/>
      <c r="F12" s="327">
        <v>34.31</v>
      </c>
      <c r="G12" s="326">
        <f t="shared" si="1"/>
        <v>3.35228827138781</v>
      </c>
      <c r="H12" s="327"/>
    </row>
    <row r="13" ht="26.25" customHeight="1" spans="1:8">
      <c r="A13" s="366" t="s">
        <v>41</v>
      </c>
      <c r="B13" s="360">
        <f t="shared" si="0"/>
        <v>2238.17</v>
      </c>
      <c r="C13" s="327"/>
      <c r="D13" s="327">
        <v>1738.17</v>
      </c>
      <c r="E13" s="327">
        <v>500</v>
      </c>
      <c r="F13" s="327">
        <v>115.155</v>
      </c>
      <c r="G13" s="326">
        <f t="shared" si="1"/>
        <v>5.14505153764012</v>
      </c>
      <c r="H13" s="327"/>
    </row>
    <row r="14" ht="26.25" customHeight="1" spans="1:8">
      <c r="A14" s="366" t="s">
        <v>42</v>
      </c>
      <c r="B14" s="360">
        <f t="shared" si="0"/>
        <v>88.19</v>
      </c>
      <c r="C14" s="327"/>
      <c r="D14" s="327">
        <v>88.19</v>
      </c>
      <c r="E14" s="327"/>
      <c r="F14" s="327"/>
      <c r="G14" s="326">
        <f t="shared" si="1"/>
        <v>0</v>
      </c>
      <c r="H14" s="327"/>
    </row>
    <row r="15" ht="26.25" customHeight="1" spans="1:8">
      <c r="A15" s="366" t="s">
        <v>43</v>
      </c>
      <c r="B15" s="360">
        <f t="shared" si="0"/>
        <v>6</v>
      </c>
      <c r="C15" s="327"/>
      <c r="D15" s="327">
        <v>6</v>
      </c>
      <c r="E15" s="327"/>
      <c r="F15" s="327"/>
      <c r="G15" s="326">
        <f t="shared" si="1"/>
        <v>0</v>
      </c>
      <c r="H15" s="327"/>
    </row>
    <row r="16" ht="26.25" customHeight="1" spans="1:8">
      <c r="A16" s="366" t="s">
        <v>44</v>
      </c>
      <c r="B16" s="360">
        <f t="shared" si="0"/>
        <v>90</v>
      </c>
      <c r="C16" s="327"/>
      <c r="D16" s="327">
        <v>90</v>
      </c>
      <c r="E16" s="327"/>
      <c r="F16" s="327"/>
      <c r="G16" s="326">
        <f t="shared" si="1"/>
        <v>0</v>
      </c>
      <c r="H16" s="327"/>
    </row>
    <row r="17" ht="26.25" customHeight="1" spans="1:8">
      <c r="A17" s="366" t="s">
        <v>45</v>
      </c>
      <c r="B17" s="360">
        <f t="shared" si="0"/>
        <v>7.58</v>
      </c>
      <c r="C17" s="327"/>
      <c r="D17" s="327">
        <v>7.58</v>
      </c>
      <c r="E17" s="327"/>
      <c r="F17" s="327"/>
      <c r="G17" s="326">
        <f t="shared" si="1"/>
        <v>0</v>
      </c>
      <c r="H17" s="327"/>
    </row>
    <row r="18" ht="26.25" customHeight="1" spans="1:8">
      <c r="A18" s="366" t="s">
        <v>56</v>
      </c>
      <c r="B18" s="360">
        <f t="shared" si="0"/>
        <v>15.61</v>
      </c>
      <c r="C18" s="327">
        <v>15.61</v>
      </c>
      <c r="D18" s="327"/>
      <c r="E18" s="327"/>
      <c r="F18" s="327">
        <v>2.04</v>
      </c>
      <c r="G18" s="326">
        <f t="shared" si="1"/>
        <v>13.0685458039718</v>
      </c>
      <c r="H18" s="327"/>
    </row>
    <row r="19" ht="26.25" customHeight="1" spans="1:8">
      <c r="A19" s="366" t="s">
        <v>27</v>
      </c>
      <c r="B19" s="327">
        <f>SUM(B5:B18)</f>
        <v>12180.04</v>
      </c>
      <c r="C19" s="327">
        <f>SUM(C5:C18)</f>
        <v>613.56</v>
      </c>
      <c r="D19" s="327">
        <f>SUM(D5:D18)</f>
        <v>10624.48</v>
      </c>
      <c r="E19" s="327">
        <f>SUM(E5:E18)</f>
        <v>942</v>
      </c>
      <c r="F19" s="327">
        <f>SUM(F5:F18)</f>
        <v>4703.3769</v>
      </c>
      <c r="G19" s="326">
        <f t="shared" si="1"/>
        <v>38.6154470757075</v>
      </c>
      <c r="H19" s="327"/>
    </row>
  </sheetData>
  <mergeCells count="8">
    <mergeCell ref="A1:H1"/>
    <mergeCell ref="A2:B2"/>
    <mergeCell ref="C2:F2"/>
    <mergeCell ref="B3:E3"/>
    <mergeCell ref="A3:A4"/>
    <mergeCell ref="F3:F4"/>
    <mergeCell ref="G3:G4"/>
    <mergeCell ref="H3:H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opLeftCell="A4" workbookViewId="0">
      <selection activeCell="N14" sqref="N14"/>
    </sheetView>
  </sheetViews>
  <sheetFormatPr defaultColWidth="9" defaultRowHeight="14.25"/>
  <cols>
    <col min="1" max="1" width="15.3333333333333" customWidth="1"/>
    <col min="2" max="2" width="11.0833333333333" customWidth="1"/>
    <col min="3" max="3" width="12" customWidth="1"/>
    <col min="4" max="4" width="11.0833333333333" customWidth="1"/>
    <col min="5" max="5" width="9" customWidth="1"/>
    <col min="6" max="6" width="11.75" customWidth="1"/>
    <col min="7" max="7" width="12.5" customWidth="1"/>
    <col min="8" max="8" width="10.75" customWidth="1"/>
    <col min="9" max="9" width="8.75" customWidth="1"/>
    <col min="10" max="11" width="13.25" customWidth="1"/>
    <col min="12" max="12" width="15.3333333333333" customWidth="1"/>
  </cols>
  <sheetData>
    <row r="1" ht="31" customHeight="1" spans="1:12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2">
      <c r="A2" s="352" t="s">
        <v>28</v>
      </c>
      <c r="B2" s="352"/>
      <c r="C2" s="362">
        <v>43251</v>
      </c>
      <c r="D2" s="362"/>
      <c r="E2" s="362"/>
      <c r="F2" s="362"/>
      <c r="G2" s="362"/>
      <c r="H2" s="362"/>
      <c r="I2" s="362"/>
      <c r="J2" s="367"/>
      <c r="K2" s="16"/>
      <c r="L2" s="16" t="s">
        <v>3</v>
      </c>
    </row>
    <row r="3" ht="19.5" customHeight="1" spans="1:12">
      <c r="A3" s="271" t="s">
        <v>29</v>
      </c>
      <c r="B3" s="363" t="s">
        <v>51</v>
      </c>
      <c r="C3" s="363"/>
      <c r="D3" s="363"/>
      <c r="E3" s="364"/>
      <c r="F3" s="365" t="s">
        <v>31</v>
      </c>
      <c r="G3" s="271"/>
      <c r="H3" s="271"/>
      <c r="I3" s="271"/>
      <c r="J3" s="365" t="s">
        <v>57</v>
      </c>
      <c r="K3" s="365" t="s">
        <v>7</v>
      </c>
      <c r="L3" s="365" t="s">
        <v>52</v>
      </c>
    </row>
    <row r="4" ht="26.25" customHeight="1" spans="1:12">
      <c r="A4" s="271"/>
      <c r="B4" s="357"/>
      <c r="C4" s="272" t="s">
        <v>53</v>
      </c>
      <c r="D4" s="272" t="s">
        <v>54</v>
      </c>
      <c r="E4" s="358" t="s">
        <v>55</v>
      </c>
      <c r="F4" s="359"/>
      <c r="G4" s="272" t="s">
        <v>53</v>
      </c>
      <c r="H4" s="272" t="s">
        <v>54</v>
      </c>
      <c r="I4" s="358" t="s">
        <v>55</v>
      </c>
      <c r="J4" s="296"/>
      <c r="K4" s="296"/>
      <c r="L4" s="296"/>
    </row>
    <row r="5" ht="26.25" customHeight="1" spans="1:12">
      <c r="A5" s="366" t="s">
        <v>33</v>
      </c>
      <c r="B5" s="360">
        <f>C5+D5+E5</f>
        <v>2359.26</v>
      </c>
      <c r="C5" s="360"/>
      <c r="D5" s="360">
        <f>1454.26+664+65</f>
        <v>2183.26</v>
      </c>
      <c r="E5" s="327">
        <v>176</v>
      </c>
      <c r="F5" s="327">
        <f>I5+H5+G5</f>
        <v>1581.5</v>
      </c>
      <c r="G5" s="327"/>
      <c r="H5" s="327">
        <v>1405.5</v>
      </c>
      <c r="I5" s="327">
        <v>176</v>
      </c>
      <c r="J5" s="327">
        <f>B5-F5</f>
        <v>777.76</v>
      </c>
      <c r="K5" s="326">
        <f>F5/B5*100</f>
        <v>67.0337309156261</v>
      </c>
      <c r="L5" s="327"/>
    </row>
    <row r="6" ht="26.25" customHeight="1" spans="1:12">
      <c r="A6" s="366" t="s">
        <v>34</v>
      </c>
      <c r="B6" s="360">
        <f t="shared" ref="B6:B18" si="0">C6+D6+E6</f>
        <v>5</v>
      </c>
      <c r="C6" s="327"/>
      <c r="D6" s="327">
        <v>5</v>
      </c>
      <c r="E6" s="327"/>
      <c r="F6" s="327">
        <f t="shared" ref="F6:F18" si="1">I6+H6+G6</f>
        <v>4.4721</v>
      </c>
      <c r="G6" s="327"/>
      <c r="H6" s="327">
        <v>4.4721</v>
      </c>
      <c r="I6" s="327"/>
      <c r="J6" s="327">
        <f t="shared" ref="J6:J18" si="2">B6-F6</f>
        <v>0.5279</v>
      </c>
      <c r="K6" s="326">
        <f t="shared" ref="K6:K19" si="3">F6/B6*100</f>
        <v>89.442</v>
      </c>
      <c r="L6" s="327"/>
    </row>
    <row r="7" ht="26.25" customHeight="1" spans="1:12">
      <c r="A7" s="366" t="s">
        <v>35</v>
      </c>
      <c r="B7" s="360">
        <f t="shared" si="0"/>
        <v>3215.2</v>
      </c>
      <c r="C7" s="327"/>
      <c r="D7" s="327">
        <v>3215.2</v>
      </c>
      <c r="E7" s="327"/>
      <c r="F7" s="327">
        <f t="shared" si="1"/>
        <v>1986</v>
      </c>
      <c r="G7" s="327"/>
      <c r="H7" s="327">
        <v>1986</v>
      </c>
      <c r="I7" s="327"/>
      <c r="J7" s="327">
        <f t="shared" si="2"/>
        <v>1229.2</v>
      </c>
      <c r="K7" s="326">
        <f t="shared" si="3"/>
        <v>61.7690967902463</v>
      </c>
      <c r="L7" s="327"/>
    </row>
    <row r="8" ht="26.25" customHeight="1" spans="1:12">
      <c r="A8" s="366" t="s">
        <v>36</v>
      </c>
      <c r="B8" s="360">
        <f t="shared" si="0"/>
        <v>1078.95</v>
      </c>
      <c r="C8" s="327">
        <v>597.95</v>
      </c>
      <c r="D8" s="327">
        <v>481</v>
      </c>
      <c r="E8" s="327"/>
      <c r="F8" s="327">
        <f t="shared" si="1"/>
        <v>533.14</v>
      </c>
      <c r="G8" s="327">
        <v>270.64</v>
      </c>
      <c r="H8" s="327">
        <v>262.5</v>
      </c>
      <c r="I8" s="327"/>
      <c r="J8" s="327">
        <f t="shared" si="2"/>
        <v>545.81</v>
      </c>
      <c r="K8" s="326">
        <f t="shared" si="3"/>
        <v>49.4128550905973</v>
      </c>
      <c r="L8" s="327"/>
    </row>
    <row r="9" ht="26.25" customHeight="1" spans="1:12">
      <c r="A9" s="366" t="s">
        <v>37</v>
      </c>
      <c r="B9" s="360">
        <f t="shared" si="0"/>
        <v>674.9</v>
      </c>
      <c r="C9" s="327"/>
      <c r="D9" s="327">
        <v>574.9</v>
      </c>
      <c r="E9" s="327">
        <f>100</f>
        <v>100</v>
      </c>
      <c r="F9" s="327">
        <f t="shared" si="1"/>
        <v>100</v>
      </c>
      <c r="G9" s="327"/>
      <c r="H9" s="327"/>
      <c r="I9" s="327">
        <v>100</v>
      </c>
      <c r="J9" s="327">
        <f t="shared" si="2"/>
        <v>574.9</v>
      </c>
      <c r="K9" s="326">
        <f t="shared" si="3"/>
        <v>14.8170099273967</v>
      </c>
      <c r="L9" s="327"/>
    </row>
    <row r="10" ht="26.25" customHeight="1" spans="1:12">
      <c r="A10" s="366" t="s">
        <v>38</v>
      </c>
      <c r="B10" s="360">
        <f t="shared" si="0"/>
        <v>1298.83</v>
      </c>
      <c r="C10" s="327"/>
      <c r="D10" s="327">
        <v>1132.83</v>
      </c>
      <c r="E10" s="327">
        <v>166</v>
      </c>
      <c r="F10" s="327">
        <f t="shared" si="1"/>
        <v>172.1764</v>
      </c>
      <c r="G10" s="327"/>
      <c r="H10" s="327">
        <v>157.1764</v>
      </c>
      <c r="I10" s="327">
        <v>15</v>
      </c>
      <c r="J10" s="327">
        <f t="shared" si="2"/>
        <v>1126.6536</v>
      </c>
      <c r="K10" s="326">
        <f t="shared" si="3"/>
        <v>13.2562691037318</v>
      </c>
      <c r="L10" s="327"/>
    </row>
    <row r="11" ht="26.25" customHeight="1" spans="1:12">
      <c r="A11" s="366" t="s">
        <v>39</v>
      </c>
      <c r="B11" s="360">
        <f t="shared" si="0"/>
        <v>78.87</v>
      </c>
      <c r="C11" s="327"/>
      <c r="D11" s="327">
        <v>78.87</v>
      </c>
      <c r="E11" s="327"/>
      <c r="F11" s="327">
        <f t="shared" si="1"/>
        <v>3.995</v>
      </c>
      <c r="G11" s="327"/>
      <c r="H11" s="327">
        <v>3.995</v>
      </c>
      <c r="I11" s="327"/>
      <c r="J11" s="327">
        <f t="shared" si="2"/>
        <v>74.875</v>
      </c>
      <c r="K11" s="326">
        <f t="shared" si="3"/>
        <v>5.06529732471155</v>
      </c>
      <c r="L11" s="327"/>
    </row>
    <row r="12" ht="26.25" customHeight="1" spans="1:12">
      <c r="A12" s="366" t="s">
        <v>40</v>
      </c>
      <c r="B12" s="360">
        <f t="shared" si="0"/>
        <v>1023.48</v>
      </c>
      <c r="C12" s="327"/>
      <c r="D12" s="327">
        <v>1023.48</v>
      </c>
      <c r="E12" s="327"/>
      <c r="F12" s="327">
        <f t="shared" si="1"/>
        <v>34.31</v>
      </c>
      <c r="G12" s="327"/>
      <c r="H12" s="327">
        <v>34.31</v>
      </c>
      <c r="I12" s="327"/>
      <c r="J12" s="327">
        <f t="shared" si="2"/>
        <v>989.17</v>
      </c>
      <c r="K12" s="326">
        <f t="shared" si="3"/>
        <v>3.35228827138781</v>
      </c>
      <c r="L12" s="327"/>
    </row>
    <row r="13" ht="26.25" customHeight="1" spans="1:12">
      <c r="A13" s="366" t="s">
        <v>41</v>
      </c>
      <c r="B13" s="360">
        <f t="shared" si="0"/>
        <v>2238.17</v>
      </c>
      <c r="C13" s="327"/>
      <c r="D13" s="327">
        <v>1738.17</v>
      </c>
      <c r="E13" s="327">
        <v>500</v>
      </c>
      <c r="F13" s="327">
        <f t="shared" si="1"/>
        <v>52.5</v>
      </c>
      <c r="G13" s="327"/>
      <c r="H13" s="327">
        <v>52.5</v>
      </c>
      <c r="I13" s="327"/>
      <c r="J13" s="327">
        <f t="shared" si="2"/>
        <v>2185.67</v>
      </c>
      <c r="K13" s="326">
        <f t="shared" si="3"/>
        <v>2.34566632561423</v>
      </c>
      <c r="L13" s="327"/>
    </row>
    <row r="14" ht="26.25" customHeight="1" spans="1:12">
      <c r="A14" s="366" t="s">
        <v>42</v>
      </c>
      <c r="B14" s="360">
        <f t="shared" si="0"/>
        <v>88.19</v>
      </c>
      <c r="C14" s="327"/>
      <c r="D14" s="327">
        <v>88.19</v>
      </c>
      <c r="E14" s="327"/>
      <c r="F14" s="327">
        <f t="shared" si="1"/>
        <v>0</v>
      </c>
      <c r="G14" s="327"/>
      <c r="H14" s="327"/>
      <c r="I14" s="327"/>
      <c r="J14" s="327">
        <f t="shared" si="2"/>
        <v>88.19</v>
      </c>
      <c r="K14" s="326">
        <f t="shared" si="3"/>
        <v>0</v>
      </c>
      <c r="L14" s="327"/>
    </row>
    <row r="15" ht="26.25" customHeight="1" spans="1:12">
      <c r="A15" s="366" t="s">
        <v>43</v>
      </c>
      <c r="B15" s="360">
        <f t="shared" si="0"/>
        <v>6</v>
      </c>
      <c r="C15" s="327"/>
      <c r="D15" s="327">
        <v>6</v>
      </c>
      <c r="E15" s="327"/>
      <c r="F15" s="327">
        <f t="shared" si="1"/>
        <v>0</v>
      </c>
      <c r="G15" s="327"/>
      <c r="H15" s="327"/>
      <c r="I15" s="327"/>
      <c r="J15" s="327">
        <f t="shared" si="2"/>
        <v>6</v>
      </c>
      <c r="K15" s="326">
        <f t="shared" si="3"/>
        <v>0</v>
      </c>
      <c r="L15" s="327"/>
    </row>
    <row r="16" ht="26.25" customHeight="1" spans="1:12">
      <c r="A16" s="366" t="s">
        <v>44</v>
      </c>
      <c r="B16" s="360">
        <f t="shared" si="0"/>
        <v>90</v>
      </c>
      <c r="C16" s="327"/>
      <c r="D16" s="327">
        <v>90</v>
      </c>
      <c r="E16" s="327"/>
      <c r="F16" s="327">
        <f t="shared" si="1"/>
        <v>0</v>
      </c>
      <c r="G16" s="327"/>
      <c r="H16" s="327"/>
      <c r="I16" s="327"/>
      <c r="J16" s="327">
        <f t="shared" si="2"/>
        <v>90</v>
      </c>
      <c r="K16" s="326">
        <f t="shared" si="3"/>
        <v>0</v>
      </c>
      <c r="L16" s="327"/>
    </row>
    <row r="17" ht="26.25" customHeight="1" spans="1:12">
      <c r="A17" s="366" t="s">
        <v>45</v>
      </c>
      <c r="B17" s="360">
        <f t="shared" si="0"/>
        <v>7.58</v>
      </c>
      <c r="C17" s="327"/>
      <c r="D17" s="327">
        <v>7.58</v>
      </c>
      <c r="E17" s="327"/>
      <c r="F17" s="327">
        <f t="shared" si="1"/>
        <v>0</v>
      </c>
      <c r="G17" s="327"/>
      <c r="H17" s="327"/>
      <c r="I17" s="327"/>
      <c r="J17" s="327">
        <f t="shared" si="2"/>
        <v>7.58</v>
      </c>
      <c r="K17" s="326">
        <f t="shared" si="3"/>
        <v>0</v>
      </c>
      <c r="L17" s="327"/>
    </row>
    <row r="18" ht="26.25" customHeight="1" spans="1:12">
      <c r="A18" s="366" t="s">
        <v>56</v>
      </c>
      <c r="B18" s="360">
        <f t="shared" si="0"/>
        <v>15.61</v>
      </c>
      <c r="C18" s="327">
        <v>15.61</v>
      </c>
      <c r="D18" s="327"/>
      <c r="E18" s="327"/>
      <c r="F18" s="327">
        <f t="shared" si="1"/>
        <v>2.04</v>
      </c>
      <c r="G18" s="327">
        <v>2.04</v>
      </c>
      <c r="H18" s="327"/>
      <c r="I18" s="327"/>
      <c r="J18" s="327">
        <f t="shared" si="2"/>
        <v>13.57</v>
      </c>
      <c r="K18" s="326">
        <f t="shared" si="3"/>
        <v>13.0685458039718</v>
      </c>
      <c r="L18" s="327"/>
    </row>
    <row r="19" ht="26.25" customHeight="1" spans="1:12">
      <c r="A19" s="366" t="s">
        <v>27</v>
      </c>
      <c r="B19" s="327">
        <f>SUM(B5:B18)</f>
        <v>12180.04</v>
      </c>
      <c r="C19" s="327">
        <f t="shared" ref="C19:J19" si="4">SUM(C5:C18)</f>
        <v>613.56</v>
      </c>
      <c r="D19" s="327">
        <f t="shared" si="4"/>
        <v>10624.48</v>
      </c>
      <c r="E19" s="327">
        <f t="shared" si="4"/>
        <v>942</v>
      </c>
      <c r="F19" s="327">
        <f t="shared" si="4"/>
        <v>4470.1335</v>
      </c>
      <c r="G19" s="327">
        <f t="shared" si="4"/>
        <v>272.68</v>
      </c>
      <c r="H19" s="327">
        <f t="shared" si="4"/>
        <v>3906.4535</v>
      </c>
      <c r="I19" s="327">
        <f t="shared" si="4"/>
        <v>291</v>
      </c>
      <c r="J19" s="327">
        <f t="shared" si="4"/>
        <v>7709.9065</v>
      </c>
      <c r="K19" s="326">
        <f t="shared" si="3"/>
        <v>36.7004829212384</v>
      </c>
      <c r="L19" s="327"/>
    </row>
  </sheetData>
  <mergeCells count="9">
    <mergeCell ref="A1:L1"/>
    <mergeCell ref="A2:B2"/>
    <mergeCell ref="C2:I2"/>
    <mergeCell ref="B3:E3"/>
    <mergeCell ref="F3:I3"/>
    <mergeCell ref="A3:A4"/>
    <mergeCell ref="J3:J4"/>
    <mergeCell ref="K3:K4"/>
    <mergeCell ref="L3:L4"/>
  </mergeCells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90" zoomScaleNormal="190" workbookViewId="0">
      <pane xSplit="1" ySplit="4" topLeftCell="F5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15.3333333333333" customWidth="1"/>
    <col min="2" max="2" width="11.0833333333333" customWidth="1"/>
    <col min="3" max="3" width="12" customWidth="1"/>
    <col min="4" max="4" width="11.0833333333333" customWidth="1"/>
    <col min="5" max="5" width="9" customWidth="1"/>
    <col min="6" max="6" width="11.75" customWidth="1"/>
    <col min="7" max="7" width="12.5" customWidth="1"/>
    <col min="8" max="8" width="10.75" customWidth="1"/>
    <col min="9" max="9" width="8.75" customWidth="1"/>
    <col min="10" max="12" width="13.25" customWidth="1"/>
    <col min="13" max="13" width="12.8333333333333" customWidth="1"/>
  </cols>
  <sheetData>
    <row r="1" ht="31" customHeight="1" spans="1:13">
      <c r="A1" s="268" t="s">
        <v>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ht="24" customHeight="1" spans="1:13">
      <c r="A2" s="352" t="s">
        <v>28</v>
      </c>
      <c r="B2" s="352"/>
      <c r="C2" s="291">
        <v>43271</v>
      </c>
      <c r="D2" s="291"/>
      <c r="E2" s="291"/>
      <c r="F2" s="291"/>
      <c r="G2" s="291"/>
      <c r="H2" s="291"/>
      <c r="I2" s="291"/>
      <c r="J2" s="291"/>
      <c r="K2" s="291"/>
      <c r="L2" s="16"/>
      <c r="M2" s="16" t="s">
        <v>3</v>
      </c>
    </row>
    <row r="3" ht="21" customHeight="1" spans="1:13">
      <c r="A3" s="353" t="s">
        <v>29</v>
      </c>
      <c r="B3" s="354" t="s">
        <v>51</v>
      </c>
      <c r="C3" s="354"/>
      <c r="D3" s="354"/>
      <c r="E3" s="355"/>
      <c r="F3" s="303" t="s">
        <v>31</v>
      </c>
      <c r="G3" s="305"/>
      <c r="H3" s="305"/>
      <c r="I3" s="305"/>
      <c r="J3" s="303" t="s">
        <v>57</v>
      </c>
      <c r="K3" s="303" t="s">
        <v>7</v>
      </c>
      <c r="L3" s="304" t="s">
        <v>58</v>
      </c>
      <c r="M3" s="361" t="s">
        <v>52</v>
      </c>
    </row>
    <row r="4" ht="26.25" customHeight="1" spans="1:13">
      <c r="A4" s="356"/>
      <c r="B4" s="357"/>
      <c r="C4" s="272" t="s">
        <v>53</v>
      </c>
      <c r="D4" s="272" t="s">
        <v>54</v>
      </c>
      <c r="E4" s="358" t="s">
        <v>55</v>
      </c>
      <c r="F4" s="359"/>
      <c r="G4" s="272" t="s">
        <v>53</v>
      </c>
      <c r="H4" s="272" t="s">
        <v>54</v>
      </c>
      <c r="I4" s="358" t="s">
        <v>55</v>
      </c>
      <c r="J4" s="296"/>
      <c r="K4" s="296"/>
      <c r="L4" s="297"/>
      <c r="M4" s="319"/>
    </row>
    <row r="5" ht="33" customHeight="1" spans="1:13">
      <c r="A5" s="341" t="s">
        <v>33</v>
      </c>
      <c r="B5" s="360">
        <f>C5+D5+E5</f>
        <v>2359.26</v>
      </c>
      <c r="C5" s="360"/>
      <c r="D5" s="360">
        <f>1454.26+664+65</f>
        <v>2183.26</v>
      </c>
      <c r="E5" s="327">
        <v>176</v>
      </c>
      <c r="F5" s="327">
        <f>I5+H5+G5</f>
        <v>2323.355</v>
      </c>
      <c r="G5" s="327"/>
      <c r="H5" s="327">
        <f>2141.055+6.3</f>
        <v>2147.355</v>
      </c>
      <c r="I5" s="327">
        <v>176</v>
      </c>
      <c r="J5" s="327">
        <f>B5-F5</f>
        <v>35.9050000000002</v>
      </c>
      <c r="K5" s="326">
        <f>F5/B5*100</f>
        <v>98.4781244966642</v>
      </c>
      <c r="L5" s="326"/>
      <c r="M5" s="336"/>
    </row>
    <row r="6" ht="33" customHeight="1" spans="1:13">
      <c r="A6" s="341" t="s">
        <v>34</v>
      </c>
      <c r="B6" s="360">
        <f t="shared" ref="B6:B18" si="0">C6+D6+E6</f>
        <v>5</v>
      </c>
      <c r="C6" s="327"/>
      <c r="D6" s="327">
        <v>5</v>
      </c>
      <c r="E6" s="327"/>
      <c r="F6" s="327">
        <f t="shared" ref="F6:F18" si="1">I6+H6+G6</f>
        <v>4.4721</v>
      </c>
      <c r="G6" s="327"/>
      <c r="H6" s="327">
        <v>4.4721</v>
      </c>
      <c r="I6" s="327"/>
      <c r="J6" s="327">
        <f t="shared" ref="J6:J18" si="2">B6-F6</f>
        <v>0.5279</v>
      </c>
      <c r="K6" s="326">
        <f t="shared" ref="K6:K19" si="3">F6/B6*100</f>
        <v>89.442</v>
      </c>
      <c r="L6" s="326"/>
      <c r="M6" s="336"/>
    </row>
    <row r="7" ht="33" customHeight="1" spans="1:13">
      <c r="A7" s="341" t="s">
        <v>35</v>
      </c>
      <c r="B7" s="360">
        <f t="shared" si="0"/>
        <v>3215.2</v>
      </c>
      <c r="C7" s="327"/>
      <c r="D7" s="327">
        <v>3215.2</v>
      </c>
      <c r="E7" s="327"/>
      <c r="F7" s="327">
        <f t="shared" si="1"/>
        <v>1986</v>
      </c>
      <c r="G7" s="327"/>
      <c r="H7" s="327">
        <v>1986</v>
      </c>
      <c r="I7" s="327"/>
      <c r="J7" s="327">
        <f t="shared" si="2"/>
        <v>1229.2</v>
      </c>
      <c r="K7" s="326">
        <f t="shared" si="3"/>
        <v>61.7690967902463</v>
      </c>
      <c r="L7" s="326">
        <f t="shared" ref="L7:L17" si="4">B7*0.7-F7</f>
        <v>264.64</v>
      </c>
      <c r="M7" s="336"/>
    </row>
    <row r="8" ht="33" customHeight="1" spans="1:13">
      <c r="A8" s="341" t="s">
        <v>36</v>
      </c>
      <c r="B8" s="360">
        <f t="shared" si="0"/>
        <v>1078.95</v>
      </c>
      <c r="C8" s="327">
        <v>597.95</v>
      </c>
      <c r="D8" s="327">
        <v>481</v>
      </c>
      <c r="E8" s="327"/>
      <c r="F8" s="327">
        <f t="shared" si="1"/>
        <v>808.59</v>
      </c>
      <c r="G8" s="327">
        <f>334.31+181.43</f>
        <v>515.74</v>
      </c>
      <c r="H8" s="327">
        <v>292.85</v>
      </c>
      <c r="I8" s="327"/>
      <c r="J8" s="327">
        <f t="shared" si="2"/>
        <v>270.36</v>
      </c>
      <c r="K8" s="326">
        <f t="shared" si="3"/>
        <v>74.9423050187683</v>
      </c>
      <c r="L8" s="326"/>
      <c r="M8" s="336"/>
    </row>
    <row r="9" ht="33" customHeight="1" spans="1:13">
      <c r="A9" s="341" t="s">
        <v>37</v>
      </c>
      <c r="B9" s="360">
        <f t="shared" si="0"/>
        <v>674.9</v>
      </c>
      <c r="C9" s="327"/>
      <c r="D9" s="327">
        <v>574.9</v>
      </c>
      <c r="E9" s="327">
        <f>100</f>
        <v>100</v>
      </c>
      <c r="F9" s="327">
        <f t="shared" si="1"/>
        <v>130</v>
      </c>
      <c r="G9" s="327"/>
      <c r="H9" s="327">
        <v>30</v>
      </c>
      <c r="I9" s="327">
        <v>100</v>
      </c>
      <c r="J9" s="327">
        <f t="shared" si="2"/>
        <v>544.9</v>
      </c>
      <c r="K9" s="326">
        <f t="shared" si="3"/>
        <v>19.2621129056156</v>
      </c>
      <c r="L9" s="326">
        <f t="shared" si="4"/>
        <v>342.43</v>
      </c>
      <c r="M9" s="336"/>
    </row>
    <row r="10" ht="33" customHeight="1" spans="1:13">
      <c r="A10" s="341" t="s">
        <v>38</v>
      </c>
      <c r="B10" s="360">
        <f t="shared" si="0"/>
        <v>1298.83</v>
      </c>
      <c r="C10" s="327"/>
      <c r="D10" s="327">
        <v>1132.83</v>
      </c>
      <c r="E10" s="327">
        <v>166</v>
      </c>
      <c r="F10" s="327">
        <f t="shared" si="1"/>
        <v>438.83</v>
      </c>
      <c r="G10" s="327"/>
      <c r="H10" s="327">
        <v>273.53</v>
      </c>
      <c r="I10" s="327">
        <v>165.3</v>
      </c>
      <c r="J10" s="327">
        <f t="shared" si="2"/>
        <v>860</v>
      </c>
      <c r="K10" s="326">
        <f t="shared" si="3"/>
        <v>33.7865617517304</v>
      </c>
      <c r="L10" s="326">
        <f t="shared" si="4"/>
        <v>470.351</v>
      </c>
      <c r="M10" s="336"/>
    </row>
    <row r="11" ht="33" customHeight="1" spans="1:13">
      <c r="A11" s="341" t="s">
        <v>39</v>
      </c>
      <c r="B11" s="360">
        <f t="shared" si="0"/>
        <v>78.87</v>
      </c>
      <c r="C11" s="327"/>
      <c r="D11" s="327">
        <v>78.87</v>
      </c>
      <c r="E11" s="327"/>
      <c r="F11" s="327">
        <f t="shared" si="1"/>
        <v>74.005</v>
      </c>
      <c r="G11" s="327"/>
      <c r="H11" s="327">
        <v>74.005</v>
      </c>
      <c r="I11" s="327"/>
      <c r="J11" s="327">
        <f t="shared" si="2"/>
        <v>4.86500000000001</v>
      </c>
      <c r="K11" s="326">
        <f t="shared" si="3"/>
        <v>93.8316216558894</v>
      </c>
      <c r="L11" s="326"/>
      <c r="M11" s="336"/>
    </row>
    <row r="12" ht="33" customHeight="1" spans="1:13">
      <c r="A12" s="341" t="s">
        <v>40</v>
      </c>
      <c r="B12" s="360">
        <f t="shared" si="0"/>
        <v>1023.48</v>
      </c>
      <c r="C12" s="327"/>
      <c r="D12" s="327">
        <v>1023.48</v>
      </c>
      <c r="E12" s="327"/>
      <c r="F12" s="327">
        <f t="shared" si="1"/>
        <v>610.31</v>
      </c>
      <c r="G12" s="327"/>
      <c r="H12" s="327">
        <f>576+34.31</f>
        <v>610.31</v>
      </c>
      <c r="I12" s="327"/>
      <c r="J12" s="327">
        <f t="shared" si="2"/>
        <v>413.17</v>
      </c>
      <c r="K12" s="326">
        <f t="shared" si="3"/>
        <v>59.6308672372689</v>
      </c>
      <c r="L12" s="326">
        <f t="shared" si="4"/>
        <v>106.126</v>
      </c>
      <c r="M12" s="336"/>
    </row>
    <row r="13" ht="33" customHeight="1" spans="1:13">
      <c r="A13" s="341" t="s">
        <v>41</v>
      </c>
      <c r="B13" s="360">
        <f t="shared" si="0"/>
        <v>2238.17</v>
      </c>
      <c r="C13" s="327"/>
      <c r="D13" s="327">
        <v>1738.17</v>
      </c>
      <c r="E13" s="327">
        <v>500</v>
      </c>
      <c r="F13" s="327">
        <f t="shared" si="1"/>
        <v>541.655</v>
      </c>
      <c r="G13" s="327"/>
      <c r="H13" s="327">
        <v>115.155</v>
      </c>
      <c r="I13" s="327">
        <v>426.5</v>
      </c>
      <c r="J13" s="327">
        <f t="shared" si="2"/>
        <v>1696.515</v>
      </c>
      <c r="K13" s="326">
        <f t="shared" si="3"/>
        <v>24.2007979733443</v>
      </c>
      <c r="L13" s="326">
        <f t="shared" si="4"/>
        <v>1025.064</v>
      </c>
      <c r="M13" s="336"/>
    </row>
    <row r="14" ht="33" customHeight="1" spans="1:13">
      <c r="A14" s="341" t="s">
        <v>42</v>
      </c>
      <c r="B14" s="360">
        <f t="shared" si="0"/>
        <v>88.19</v>
      </c>
      <c r="C14" s="327"/>
      <c r="D14" s="327">
        <v>88.19</v>
      </c>
      <c r="E14" s="327"/>
      <c r="F14" s="327">
        <f t="shared" si="1"/>
        <v>22.11</v>
      </c>
      <c r="G14" s="327"/>
      <c r="H14" s="327">
        <v>22.11</v>
      </c>
      <c r="I14" s="327"/>
      <c r="J14" s="327">
        <f t="shared" si="2"/>
        <v>66.08</v>
      </c>
      <c r="K14" s="326">
        <f t="shared" si="3"/>
        <v>25.0708697131194</v>
      </c>
      <c r="L14" s="326">
        <f t="shared" si="4"/>
        <v>39.623</v>
      </c>
      <c r="M14" s="336"/>
    </row>
    <row r="15" ht="33" customHeight="1" spans="1:13">
      <c r="A15" s="341" t="s">
        <v>43</v>
      </c>
      <c r="B15" s="360">
        <f t="shared" si="0"/>
        <v>6</v>
      </c>
      <c r="C15" s="327"/>
      <c r="D15" s="327">
        <v>6</v>
      </c>
      <c r="E15" s="327"/>
      <c r="F15" s="327">
        <f t="shared" si="1"/>
        <v>0</v>
      </c>
      <c r="G15" s="327"/>
      <c r="H15" s="327"/>
      <c r="I15" s="327"/>
      <c r="J15" s="327">
        <f t="shared" si="2"/>
        <v>6</v>
      </c>
      <c r="K15" s="326">
        <f t="shared" si="3"/>
        <v>0</v>
      </c>
      <c r="L15" s="326">
        <f t="shared" si="4"/>
        <v>4.2</v>
      </c>
      <c r="M15" s="336"/>
    </row>
    <row r="16" ht="33" customHeight="1" spans="1:13">
      <c r="A16" s="341" t="s">
        <v>44</v>
      </c>
      <c r="B16" s="360">
        <f t="shared" si="0"/>
        <v>90</v>
      </c>
      <c r="C16" s="327"/>
      <c r="D16" s="327">
        <v>90</v>
      </c>
      <c r="E16" s="327"/>
      <c r="F16" s="327">
        <f t="shared" si="1"/>
        <v>0</v>
      </c>
      <c r="G16" s="327"/>
      <c r="H16" s="327"/>
      <c r="I16" s="327"/>
      <c r="J16" s="327">
        <f t="shared" si="2"/>
        <v>90</v>
      </c>
      <c r="K16" s="326">
        <f t="shared" si="3"/>
        <v>0</v>
      </c>
      <c r="L16" s="326">
        <f t="shared" si="4"/>
        <v>63</v>
      </c>
      <c r="M16" s="336"/>
    </row>
    <row r="17" ht="33" customHeight="1" spans="1:13">
      <c r="A17" s="341" t="s">
        <v>45</v>
      </c>
      <c r="B17" s="360">
        <f t="shared" si="0"/>
        <v>7.58</v>
      </c>
      <c r="C17" s="327"/>
      <c r="D17" s="327">
        <v>7.58</v>
      </c>
      <c r="E17" s="327"/>
      <c r="F17" s="327">
        <f t="shared" si="1"/>
        <v>0</v>
      </c>
      <c r="G17" s="327"/>
      <c r="H17" s="327"/>
      <c r="I17" s="327"/>
      <c r="J17" s="327">
        <f t="shared" si="2"/>
        <v>7.58</v>
      </c>
      <c r="K17" s="326">
        <f t="shared" si="3"/>
        <v>0</v>
      </c>
      <c r="L17" s="326">
        <f t="shared" si="4"/>
        <v>5.306</v>
      </c>
      <c r="M17" s="336"/>
    </row>
    <row r="18" ht="33" customHeight="1" spans="1:13">
      <c r="A18" s="341" t="s">
        <v>56</v>
      </c>
      <c r="B18" s="360">
        <f t="shared" si="0"/>
        <v>15.61</v>
      </c>
      <c r="C18" s="327">
        <v>15.61</v>
      </c>
      <c r="D18" s="327"/>
      <c r="E18" s="327"/>
      <c r="F18" s="327">
        <f t="shared" si="1"/>
        <v>15.61</v>
      </c>
      <c r="G18" s="327">
        <v>15.61</v>
      </c>
      <c r="H18" s="327"/>
      <c r="I18" s="327"/>
      <c r="J18" s="327">
        <f t="shared" si="2"/>
        <v>0</v>
      </c>
      <c r="K18" s="326">
        <f t="shared" si="3"/>
        <v>100</v>
      </c>
      <c r="L18" s="326"/>
      <c r="M18" s="336"/>
    </row>
    <row r="19" ht="33" customHeight="1" spans="1:13">
      <c r="A19" s="345" t="s">
        <v>27</v>
      </c>
      <c r="B19" s="334">
        <f>SUM(B5:B18)</f>
        <v>12180.04</v>
      </c>
      <c r="C19" s="334">
        <f t="shared" ref="C19:J19" si="5">SUM(C5:C18)</f>
        <v>613.56</v>
      </c>
      <c r="D19" s="334">
        <f t="shared" si="5"/>
        <v>10624.48</v>
      </c>
      <c r="E19" s="334">
        <f t="shared" si="5"/>
        <v>942</v>
      </c>
      <c r="F19" s="334">
        <f t="shared" si="5"/>
        <v>6954.9371</v>
      </c>
      <c r="G19" s="334">
        <f t="shared" si="5"/>
        <v>531.35</v>
      </c>
      <c r="H19" s="334">
        <f t="shared" si="5"/>
        <v>5555.7871</v>
      </c>
      <c r="I19" s="334">
        <f t="shared" si="5"/>
        <v>867.8</v>
      </c>
      <c r="J19" s="334">
        <f t="shared" si="5"/>
        <v>5225.1029</v>
      </c>
      <c r="K19" s="335">
        <f t="shared" si="3"/>
        <v>57.1011022952306</v>
      </c>
      <c r="L19" s="334">
        <f>SUM(L5:L18)</f>
        <v>2320.74</v>
      </c>
      <c r="M19" s="339"/>
    </row>
  </sheetData>
  <mergeCells count="10">
    <mergeCell ref="A1:M1"/>
    <mergeCell ref="A2:B2"/>
    <mergeCell ref="C2:K2"/>
    <mergeCell ref="B3:E3"/>
    <mergeCell ref="F3:I3"/>
    <mergeCell ref="A3:A4"/>
    <mergeCell ref="J3:J4"/>
    <mergeCell ref="K3:K4"/>
    <mergeCell ref="L3:L4"/>
    <mergeCell ref="M3:M4"/>
  </mergeCells>
  <pageMargins left="0.747916666666667" right="0.471527777777778" top="0.747916666666667" bottom="0.747916666666667" header="0.313888888888889" footer="0.313888888888889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zoomScale="160" zoomScaleNormal="160" workbookViewId="0">
      <pane xSplit="1" ySplit="4" topLeftCell="B5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16.3333333333333" customWidth="1"/>
    <col min="2" max="2" width="13.3333333333333" customWidth="1"/>
    <col min="3" max="3" width="19.3333333333333" customWidth="1"/>
    <col min="4" max="4" width="12.75" customWidth="1"/>
    <col min="5" max="6" width="12.5833333333333" customWidth="1"/>
    <col min="7" max="7" width="19.0833333333333" customWidth="1"/>
    <col min="8" max="8" width="12.75" customWidth="1"/>
    <col min="9" max="9" width="9.5" customWidth="1"/>
    <col min="10" max="10" width="11.8333333333333" customWidth="1"/>
    <col min="11" max="12" width="9.5" customWidth="1"/>
  </cols>
  <sheetData>
    <row r="1" ht="21" spans="1:12">
      <c r="A1" s="268" t="s">
        <v>59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ht="15" spans="1:12">
      <c r="A2" s="324" t="s">
        <v>60</v>
      </c>
      <c r="B2" s="325"/>
      <c r="C2" s="325"/>
      <c r="D2" s="325"/>
      <c r="E2" s="325"/>
      <c r="F2" s="325"/>
      <c r="G2" s="325"/>
      <c r="H2" s="325"/>
      <c r="I2" s="325"/>
      <c r="J2" s="291"/>
      <c r="K2" s="16"/>
      <c r="L2" s="16" t="s">
        <v>3</v>
      </c>
    </row>
    <row r="3" ht="21" customHeight="1" spans="1:12">
      <c r="A3" s="302" t="s">
        <v>29</v>
      </c>
      <c r="B3" s="303" t="s">
        <v>61</v>
      </c>
      <c r="C3" s="303" t="s">
        <v>62</v>
      </c>
      <c r="D3" s="303" t="s">
        <v>63</v>
      </c>
      <c r="E3" s="303" t="s">
        <v>57</v>
      </c>
      <c r="F3" s="303" t="s">
        <v>7</v>
      </c>
      <c r="G3" s="303" t="s">
        <v>64</v>
      </c>
      <c r="H3" s="305" t="s">
        <v>65</v>
      </c>
      <c r="I3" s="305"/>
      <c r="J3" s="305"/>
      <c r="K3" s="305"/>
      <c r="L3" s="318"/>
    </row>
    <row r="4" ht="21" customHeight="1" spans="1:12">
      <c r="A4" s="306"/>
      <c r="B4" s="296"/>
      <c r="C4" s="296"/>
      <c r="D4" s="296"/>
      <c r="E4" s="296"/>
      <c r="F4" s="296"/>
      <c r="G4" s="296"/>
      <c r="H4" s="296" t="s">
        <v>66</v>
      </c>
      <c r="I4" s="296" t="s">
        <v>67</v>
      </c>
      <c r="J4" s="351" t="s">
        <v>68</v>
      </c>
      <c r="K4" s="297" t="s">
        <v>69</v>
      </c>
      <c r="L4" s="319" t="s">
        <v>70</v>
      </c>
    </row>
    <row r="5" ht="38.15" customHeight="1" spans="1:12">
      <c r="A5" s="341" t="s">
        <v>33</v>
      </c>
      <c r="B5" s="327">
        <f>1454.26+664+65</f>
        <v>2183.26</v>
      </c>
      <c r="C5" s="328" t="s">
        <v>71</v>
      </c>
      <c r="D5" s="327">
        <f>2141.055+6.3</f>
        <v>2147.355</v>
      </c>
      <c r="E5" s="327">
        <f>B5-D5</f>
        <v>35.9050000000002</v>
      </c>
      <c r="F5" s="326">
        <f>D5/B5*100</f>
        <v>98.3554409461081</v>
      </c>
      <c r="G5" s="346" t="s">
        <v>72</v>
      </c>
      <c r="H5" s="326">
        <f>SUM(I5:L5)</f>
        <v>2147.355</v>
      </c>
      <c r="I5" s="327">
        <f>2141.055+6.3</f>
        <v>2147.355</v>
      </c>
      <c r="J5" s="326"/>
      <c r="L5" s="336"/>
    </row>
    <row r="6" ht="30" customHeight="1" spans="1:12">
      <c r="A6" s="341" t="s">
        <v>34</v>
      </c>
      <c r="B6" s="327">
        <v>5</v>
      </c>
      <c r="C6" s="328" t="s">
        <v>73</v>
      </c>
      <c r="D6" s="327">
        <v>4.4721</v>
      </c>
      <c r="E6" s="327">
        <f t="shared" ref="E6:E20" si="0">B6-D6</f>
        <v>0.5279</v>
      </c>
      <c r="F6" s="326">
        <f t="shared" ref="F6:F20" si="1">D6/B6*100</f>
        <v>89.442</v>
      </c>
      <c r="G6" s="346" t="s">
        <v>74</v>
      </c>
      <c r="H6" s="326">
        <f t="shared" ref="H6:H19" si="2">SUM(I6:L6)</f>
        <v>4.4721</v>
      </c>
      <c r="I6" s="326"/>
      <c r="J6" s="326"/>
      <c r="K6" s="327">
        <v>4.4721</v>
      </c>
      <c r="L6" s="336"/>
    </row>
    <row r="7" ht="30" customHeight="1" spans="1:12">
      <c r="A7" s="341" t="s">
        <v>35</v>
      </c>
      <c r="B7" s="327">
        <v>3215.2</v>
      </c>
      <c r="C7" s="328" t="s">
        <v>68</v>
      </c>
      <c r="D7" s="327">
        <v>1986</v>
      </c>
      <c r="E7" s="327">
        <f t="shared" si="0"/>
        <v>1229.2</v>
      </c>
      <c r="F7" s="326">
        <f t="shared" si="1"/>
        <v>61.7690967902463</v>
      </c>
      <c r="G7" s="346" t="s">
        <v>74</v>
      </c>
      <c r="H7" s="326">
        <f t="shared" si="2"/>
        <v>1986</v>
      </c>
      <c r="I7" s="326"/>
      <c r="J7" s="327">
        <v>1986</v>
      </c>
      <c r="K7" s="326"/>
      <c r="L7" s="336"/>
    </row>
    <row r="8" ht="45" customHeight="1" spans="1:12">
      <c r="A8" s="341" t="s">
        <v>36</v>
      </c>
      <c r="B8" s="327">
        <v>481</v>
      </c>
      <c r="C8" s="329" t="s">
        <v>75</v>
      </c>
      <c r="D8" s="327">
        <v>292.85</v>
      </c>
      <c r="E8" s="327">
        <f t="shared" si="0"/>
        <v>188.15</v>
      </c>
      <c r="F8" s="326">
        <f t="shared" si="1"/>
        <v>60.8835758835759</v>
      </c>
      <c r="G8" s="346" t="s">
        <v>74</v>
      </c>
      <c r="H8" s="326">
        <f>SUM(J8:L8)</f>
        <v>292.85</v>
      </c>
      <c r="J8" s="326"/>
      <c r="K8" s="326">
        <v>278.85</v>
      </c>
      <c r="L8" s="336">
        <v>14</v>
      </c>
    </row>
    <row r="9" ht="30" customHeight="1" spans="1:12">
      <c r="A9" s="341" t="s">
        <v>37</v>
      </c>
      <c r="B9" s="327">
        <v>574.9</v>
      </c>
      <c r="C9" s="328" t="s">
        <v>76</v>
      </c>
      <c r="D9" s="327">
        <v>30</v>
      </c>
      <c r="E9" s="327">
        <f t="shared" si="0"/>
        <v>544.9</v>
      </c>
      <c r="F9" s="326">
        <f t="shared" si="1"/>
        <v>5.21829883457993</v>
      </c>
      <c r="G9" s="346" t="s">
        <v>74</v>
      </c>
      <c r="H9" s="326">
        <f t="shared" si="2"/>
        <v>30</v>
      </c>
      <c r="I9" s="326"/>
      <c r="J9" s="326"/>
      <c r="K9" s="326">
        <v>30</v>
      </c>
      <c r="L9" s="336"/>
    </row>
    <row r="10" ht="52" customHeight="1" spans="1:12">
      <c r="A10" s="341" t="s">
        <v>38</v>
      </c>
      <c r="B10" s="327">
        <v>1132.83</v>
      </c>
      <c r="C10" s="329" t="s">
        <v>77</v>
      </c>
      <c r="D10" s="327">
        <f>192.0648+28.3632+0.6+7.95+0.78</f>
        <v>229.758</v>
      </c>
      <c r="E10" s="327">
        <f t="shared" si="0"/>
        <v>903.072</v>
      </c>
      <c r="F10" s="326">
        <f t="shared" si="1"/>
        <v>20.2817721988295</v>
      </c>
      <c r="G10" s="346" t="s">
        <v>74</v>
      </c>
      <c r="H10" s="326">
        <f t="shared" si="2"/>
        <v>229.758</v>
      </c>
      <c r="I10" s="327">
        <f>192.0648+28.3632+0.6+7.95+0.78</f>
        <v>229.758</v>
      </c>
      <c r="J10" s="326"/>
      <c r="K10" s="326"/>
      <c r="L10" s="336"/>
    </row>
    <row r="11" ht="30" customHeight="1" spans="1:12">
      <c r="A11" s="341" t="s">
        <v>39</v>
      </c>
      <c r="B11" s="327">
        <v>78.87</v>
      </c>
      <c r="C11" s="328" t="s">
        <v>78</v>
      </c>
      <c r="D11" s="327">
        <f>9.12+0.5+5.75</f>
        <v>15.37</v>
      </c>
      <c r="E11" s="327">
        <f t="shared" si="0"/>
        <v>63.5</v>
      </c>
      <c r="F11" s="326">
        <f t="shared" si="1"/>
        <v>19.4877646760492</v>
      </c>
      <c r="G11" s="346" t="s">
        <v>74</v>
      </c>
      <c r="H11" s="326">
        <f t="shared" si="2"/>
        <v>15.37</v>
      </c>
      <c r="I11" s="326">
        <v>15.37</v>
      </c>
      <c r="J11" s="326"/>
      <c r="K11" s="326"/>
      <c r="L11" s="336"/>
    </row>
    <row r="12" ht="30" customHeight="1" spans="1:12">
      <c r="A12" s="341" t="s">
        <v>40</v>
      </c>
      <c r="B12" s="327">
        <v>1023.48</v>
      </c>
      <c r="C12" s="347" t="s">
        <v>79</v>
      </c>
      <c r="D12" s="327">
        <v>34.31</v>
      </c>
      <c r="E12" s="327">
        <f t="shared" si="0"/>
        <v>989.17</v>
      </c>
      <c r="F12" s="326">
        <f t="shared" si="1"/>
        <v>3.35228827138781</v>
      </c>
      <c r="G12" s="346" t="s">
        <v>74</v>
      </c>
      <c r="H12" s="326">
        <f t="shared" si="2"/>
        <v>34.31</v>
      </c>
      <c r="I12" s="326"/>
      <c r="J12" s="326"/>
      <c r="K12" s="326"/>
      <c r="L12" s="336">
        <v>34.31</v>
      </c>
    </row>
    <row r="13" ht="30" customHeight="1" spans="1:12">
      <c r="A13" s="341" t="s">
        <v>41</v>
      </c>
      <c r="B13" s="327">
        <v>1738.17</v>
      </c>
      <c r="C13" s="328" t="s">
        <v>80</v>
      </c>
      <c r="D13" s="327">
        <v>115.155</v>
      </c>
      <c r="E13" s="327">
        <f t="shared" si="0"/>
        <v>1623.015</v>
      </c>
      <c r="F13" s="326">
        <f t="shared" si="1"/>
        <v>6.62507119556775</v>
      </c>
      <c r="G13" s="346" t="s">
        <v>74</v>
      </c>
      <c r="H13" s="326">
        <f t="shared" si="2"/>
        <v>115.155</v>
      </c>
      <c r="I13" s="326">
        <v>115.155</v>
      </c>
      <c r="J13" s="326"/>
      <c r="K13" s="326"/>
      <c r="L13" s="336"/>
    </row>
    <row r="14" ht="30" customHeight="1" spans="1:12">
      <c r="A14" s="341" t="s">
        <v>42</v>
      </c>
      <c r="B14" s="327">
        <v>88.19</v>
      </c>
      <c r="C14" s="328" t="s">
        <v>81</v>
      </c>
      <c r="D14" s="327"/>
      <c r="E14" s="327">
        <f t="shared" si="0"/>
        <v>88.19</v>
      </c>
      <c r="F14" s="326">
        <f t="shared" si="1"/>
        <v>0</v>
      </c>
      <c r="G14" s="346" t="s">
        <v>74</v>
      </c>
      <c r="H14" s="326">
        <f t="shared" si="2"/>
        <v>0</v>
      </c>
      <c r="I14" s="326"/>
      <c r="J14" s="326"/>
      <c r="K14" s="326"/>
      <c r="L14" s="336"/>
    </row>
    <row r="15" ht="30" customHeight="1" spans="1:12">
      <c r="A15" s="341" t="s">
        <v>43</v>
      </c>
      <c r="B15" s="327">
        <v>6</v>
      </c>
      <c r="C15" s="328" t="s">
        <v>82</v>
      </c>
      <c r="D15" s="327"/>
      <c r="E15" s="327">
        <f t="shared" si="0"/>
        <v>6</v>
      </c>
      <c r="F15" s="326">
        <f t="shared" si="1"/>
        <v>0</v>
      </c>
      <c r="G15" s="346" t="s">
        <v>74</v>
      </c>
      <c r="H15" s="326">
        <f t="shared" si="2"/>
        <v>0</v>
      </c>
      <c r="I15" s="326"/>
      <c r="J15" s="326"/>
      <c r="K15" s="326"/>
      <c r="L15" s="336"/>
    </row>
    <row r="16" ht="30" customHeight="1" spans="1:12">
      <c r="A16" s="341" t="s">
        <v>44</v>
      </c>
      <c r="B16" s="327">
        <v>90</v>
      </c>
      <c r="C16" s="328" t="s">
        <v>83</v>
      </c>
      <c r="D16" s="327"/>
      <c r="E16" s="327">
        <f t="shared" si="0"/>
        <v>90</v>
      </c>
      <c r="F16" s="326">
        <f t="shared" si="1"/>
        <v>0</v>
      </c>
      <c r="G16" s="346" t="s">
        <v>74</v>
      </c>
      <c r="H16" s="326">
        <f t="shared" si="2"/>
        <v>0</v>
      </c>
      <c r="I16" s="326"/>
      <c r="J16" s="326"/>
      <c r="K16" s="326"/>
      <c r="L16" s="336"/>
    </row>
    <row r="17" ht="30" customHeight="1" spans="1:12">
      <c r="A17" s="341" t="s">
        <v>45</v>
      </c>
      <c r="B17" s="327">
        <v>7.58</v>
      </c>
      <c r="C17" s="328" t="s">
        <v>81</v>
      </c>
      <c r="D17" s="327"/>
      <c r="E17" s="327">
        <f t="shared" si="0"/>
        <v>7.58</v>
      </c>
      <c r="F17" s="326">
        <f t="shared" si="1"/>
        <v>0</v>
      </c>
      <c r="G17" s="346" t="s">
        <v>74</v>
      </c>
      <c r="H17" s="326">
        <f t="shared" si="2"/>
        <v>0</v>
      </c>
      <c r="I17" s="326"/>
      <c r="J17" s="326"/>
      <c r="K17" s="326"/>
      <c r="L17" s="336"/>
    </row>
    <row r="18" ht="30" customHeight="1" spans="1:12">
      <c r="A18" s="310" t="s">
        <v>84</v>
      </c>
      <c r="B18" s="327">
        <v>1127</v>
      </c>
      <c r="C18" s="327"/>
      <c r="D18" s="327"/>
      <c r="E18" s="327">
        <f t="shared" si="0"/>
        <v>1127</v>
      </c>
      <c r="F18" s="326">
        <f t="shared" si="1"/>
        <v>0</v>
      </c>
      <c r="G18" s="348"/>
      <c r="H18" s="326">
        <f t="shared" si="2"/>
        <v>0</v>
      </c>
      <c r="I18" s="326"/>
      <c r="J18" s="326"/>
      <c r="K18" s="326"/>
      <c r="L18" s="336"/>
    </row>
    <row r="19" ht="30" customHeight="1" spans="1:12">
      <c r="A19" s="310" t="s">
        <v>85</v>
      </c>
      <c r="B19" s="327">
        <v>2700</v>
      </c>
      <c r="C19" s="327"/>
      <c r="D19" s="327"/>
      <c r="E19" s="327">
        <f t="shared" si="0"/>
        <v>2700</v>
      </c>
      <c r="F19" s="326">
        <f t="shared" si="1"/>
        <v>0</v>
      </c>
      <c r="G19" s="348"/>
      <c r="H19" s="326">
        <f t="shared" si="2"/>
        <v>0</v>
      </c>
      <c r="I19" s="326"/>
      <c r="J19" s="326"/>
      <c r="K19" s="326"/>
      <c r="L19" s="336"/>
    </row>
    <row r="20" ht="30" customHeight="1" spans="1:12">
      <c r="A20" s="345" t="s">
        <v>27</v>
      </c>
      <c r="B20" s="334">
        <f>SUM(B5:B19)</f>
        <v>14451.48</v>
      </c>
      <c r="C20" s="334"/>
      <c r="D20" s="334">
        <f>SUM(D5:D19)</f>
        <v>4855.2701</v>
      </c>
      <c r="E20" s="334">
        <f t="shared" si="0"/>
        <v>9596.2099</v>
      </c>
      <c r="F20" s="335">
        <f t="shared" si="1"/>
        <v>33.59704403978</v>
      </c>
      <c r="G20" s="349"/>
      <c r="H20" s="334">
        <f>SUM(H5:H19)</f>
        <v>4855.2701</v>
      </c>
      <c r="I20" s="334">
        <f>SUM(I5:I19)</f>
        <v>2507.638</v>
      </c>
      <c r="J20" s="334">
        <f>SUM(J5:J19)</f>
        <v>1986</v>
      </c>
      <c r="K20" s="334">
        <f>SUM(K5:K19)</f>
        <v>313.3221</v>
      </c>
      <c r="L20" s="339">
        <f>SUM(L5:L19)</f>
        <v>48.31</v>
      </c>
    </row>
    <row r="21" spans="1:1">
      <c r="A21" s="350" t="s">
        <v>86</v>
      </c>
    </row>
    <row r="22" spans="1:1">
      <c r="A22" s="350" t="s">
        <v>87</v>
      </c>
    </row>
    <row r="23" spans="1:1">
      <c r="A23" s="350" t="s">
        <v>88</v>
      </c>
    </row>
  </sheetData>
  <mergeCells count="10">
    <mergeCell ref="A1:L1"/>
    <mergeCell ref="A2:I2"/>
    <mergeCell ref="H3:L3"/>
    <mergeCell ref="A3:A4"/>
    <mergeCell ref="B3:B4"/>
    <mergeCell ref="C3:C4"/>
    <mergeCell ref="D3:D4"/>
    <mergeCell ref="E3:E4"/>
    <mergeCell ref="F3:F4"/>
    <mergeCell ref="G3:G4"/>
  </mergeCells>
  <pageMargins left="1.02291666666667" right="0.432638888888889" top="0.747916666666667" bottom="0.511805555555556" header="0.511805555555556" footer="0.511805555555556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zoomScale="106" zoomScaleNormal="106" workbookViewId="0">
      <pane xSplit="1" ySplit="4" topLeftCell="B5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19.3333333333333" customWidth="1"/>
    <col min="2" max="2" width="10.0833333333333" customWidth="1"/>
    <col min="3" max="3" width="15.3333333333333" customWidth="1"/>
    <col min="4" max="4" width="10.3333333333333" customWidth="1"/>
    <col min="5" max="5" width="9.83333333333333" customWidth="1"/>
    <col min="6" max="6" width="11" customWidth="1"/>
    <col min="7" max="7" width="10.0833333333333" customWidth="1"/>
    <col min="8" max="8" width="9.08333333333333" customWidth="1"/>
    <col min="9" max="9" width="8" customWidth="1"/>
    <col min="10" max="10" width="8.25" customWidth="1"/>
    <col min="11" max="11" width="8" customWidth="1"/>
  </cols>
  <sheetData>
    <row r="1" ht="21" spans="1:11">
      <c r="A1" s="268" t="s">
        <v>89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15" spans="1:11">
      <c r="A2" s="324" t="s">
        <v>90</v>
      </c>
      <c r="B2" s="325"/>
      <c r="C2" s="325"/>
      <c r="D2" s="325"/>
      <c r="E2" s="325"/>
      <c r="F2" s="325"/>
      <c r="G2" s="325"/>
      <c r="H2" s="325"/>
      <c r="I2" s="291"/>
      <c r="J2" s="16"/>
      <c r="K2" s="16" t="s">
        <v>3</v>
      </c>
    </row>
    <row r="3" spans="1:11">
      <c r="A3" s="302" t="s">
        <v>29</v>
      </c>
      <c r="B3" s="303" t="s">
        <v>91</v>
      </c>
      <c r="C3" s="303" t="s">
        <v>62</v>
      </c>
      <c r="D3" s="304" t="s">
        <v>63</v>
      </c>
      <c r="E3" s="303" t="s">
        <v>57</v>
      </c>
      <c r="F3" s="303" t="s">
        <v>7</v>
      </c>
      <c r="G3" s="305" t="s">
        <v>65</v>
      </c>
      <c r="H3" s="305"/>
      <c r="I3" s="305"/>
      <c r="J3" s="305"/>
      <c r="K3" s="318"/>
    </row>
    <row r="4" spans="1:11">
      <c r="A4" s="306"/>
      <c r="B4" s="296"/>
      <c r="C4" s="296"/>
      <c r="D4" s="297"/>
      <c r="E4" s="296"/>
      <c r="F4" s="296"/>
      <c r="G4" s="296" t="s">
        <v>66</v>
      </c>
      <c r="H4" s="296" t="s">
        <v>67</v>
      </c>
      <c r="I4" s="296" t="s">
        <v>92</v>
      </c>
      <c r="J4" s="297" t="s">
        <v>69</v>
      </c>
      <c r="K4" s="319" t="s">
        <v>70</v>
      </c>
    </row>
    <row r="5" spans="1:11">
      <c r="A5" s="306" t="s">
        <v>93</v>
      </c>
      <c r="B5" s="296">
        <f t="shared" ref="B5:K5" si="0">SUM(B6,B18,B21,B22,B23,B24)</f>
        <v>13745.56</v>
      </c>
      <c r="C5" s="296"/>
      <c r="D5" s="296">
        <f t="shared" si="0"/>
        <v>6066.5871</v>
      </c>
      <c r="E5" s="296">
        <f t="shared" si="0"/>
        <v>7678.9729</v>
      </c>
      <c r="F5" s="326">
        <f>D5/B5*100</f>
        <v>44.1348850101414</v>
      </c>
      <c r="G5" s="296">
        <f t="shared" si="0"/>
        <v>6066.5871</v>
      </c>
      <c r="H5" s="296">
        <f t="shared" si="0"/>
        <v>2632.155</v>
      </c>
      <c r="I5" s="296">
        <f t="shared" si="0"/>
        <v>1986</v>
      </c>
      <c r="J5" s="296">
        <f t="shared" si="0"/>
        <v>313.4721</v>
      </c>
      <c r="K5" s="296">
        <f t="shared" si="0"/>
        <v>1134.96</v>
      </c>
    </row>
    <row r="6" spans="1:11">
      <c r="A6" s="340" t="s">
        <v>94</v>
      </c>
      <c r="B6" s="296">
        <f t="shared" ref="B6:K6" si="1">SUM(B7:B17)</f>
        <v>9777.95</v>
      </c>
      <c r="C6" s="296"/>
      <c r="D6" s="296">
        <f t="shared" si="1"/>
        <v>5415.2171</v>
      </c>
      <c r="E6" s="296">
        <f t="shared" si="1"/>
        <v>4362.7329</v>
      </c>
      <c r="F6" s="326">
        <f>D6/B6*100</f>
        <v>55.3819266819732</v>
      </c>
      <c r="G6" s="296">
        <f t="shared" si="1"/>
        <v>5415.2171</v>
      </c>
      <c r="H6" s="296">
        <f t="shared" si="1"/>
        <v>2567.155</v>
      </c>
      <c r="I6" s="296">
        <f t="shared" si="1"/>
        <v>1986</v>
      </c>
      <c r="J6" s="296">
        <f t="shared" si="1"/>
        <v>313.4721</v>
      </c>
      <c r="K6" s="319">
        <f t="shared" si="1"/>
        <v>548.59</v>
      </c>
    </row>
    <row r="7" spans="1:11">
      <c r="A7" s="341" t="s">
        <v>33</v>
      </c>
      <c r="B7" s="327">
        <f>1454.26+664</f>
        <v>2118.26</v>
      </c>
      <c r="C7" s="328" t="s">
        <v>71</v>
      </c>
      <c r="D7" s="327">
        <f>2141.055+6.3-65</f>
        <v>2082.355</v>
      </c>
      <c r="E7" s="327">
        <f t="shared" ref="E7:E29" si="2">B7-D7</f>
        <v>35.9050000000002</v>
      </c>
      <c r="F7" s="326">
        <f t="shared" ref="F7:F29" si="3">D7/B7*100</f>
        <v>98.3049767261809</v>
      </c>
      <c r="G7" s="326">
        <f>SUM(H7:K7)</f>
        <v>2082.355</v>
      </c>
      <c r="H7" s="327">
        <v>2082.355</v>
      </c>
      <c r="I7" s="326"/>
      <c r="K7" s="336"/>
    </row>
    <row r="8" spans="1:11">
      <c r="A8" s="341" t="s">
        <v>34</v>
      </c>
      <c r="B8" s="327">
        <v>5</v>
      </c>
      <c r="C8" s="328" t="s">
        <v>73</v>
      </c>
      <c r="D8" s="327">
        <v>4.4721</v>
      </c>
      <c r="E8" s="327">
        <f t="shared" si="2"/>
        <v>0.5279</v>
      </c>
      <c r="F8" s="326">
        <f t="shared" si="3"/>
        <v>89.442</v>
      </c>
      <c r="G8" s="326">
        <f t="shared" ref="G8:G17" si="4">SUM(H8:K8)</f>
        <v>4.4721</v>
      </c>
      <c r="H8" s="326"/>
      <c r="I8" s="326"/>
      <c r="J8" s="327">
        <v>4.4721</v>
      </c>
      <c r="K8" s="336"/>
    </row>
    <row r="9" spans="1:11">
      <c r="A9" s="341" t="s">
        <v>35</v>
      </c>
      <c r="B9" s="327">
        <f>3215.2-230</f>
        <v>2985.2</v>
      </c>
      <c r="C9" s="328" t="s">
        <v>68</v>
      </c>
      <c r="D9" s="327">
        <v>1986</v>
      </c>
      <c r="E9" s="327">
        <f t="shared" si="2"/>
        <v>999.2</v>
      </c>
      <c r="F9" s="326">
        <f t="shared" si="3"/>
        <v>66.5282058153558</v>
      </c>
      <c r="G9" s="326">
        <f t="shared" si="4"/>
        <v>1986</v>
      </c>
      <c r="H9" s="326"/>
      <c r="I9" s="327">
        <v>1986</v>
      </c>
      <c r="J9" s="326"/>
      <c r="K9" s="336"/>
    </row>
    <row r="10" ht="42" spans="1:11">
      <c r="A10" s="341" t="s">
        <v>36</v>
      </c>
      <c r="B10" s="327">
        <v>481</v>
      </c>
      <c r="C10" s="329" t="s">
        <v>75</v>
      </c>
      <c r="D10" s="327">
        <v>311.85</v>
      </c>
      <c r="E10" s="327">
        <f t="shared" si="2"/>
        <v>169.15</v>
      </c>
      <c r="F10" s="326">
        <f t="shared" si="3"/>
        <v>64.8336798336798</v>
      </c>
      <c r="G10" s="326">
        <f t="shared" si="4"/>
        <v>311.85</v>
      </c>
      <c r="I10" s="326"/>
      <c r="J10" s="326">
        <v>279</v>
      </c>
      <c r="K10" s="336">
        <f>18.85+14</f>
        <v>32.85</v>
      </c>
    </row>
    <row r="11" spans="1:11">
      <c r="A11" s="341" t="s">
        <v>37</v>
      </c>
      <c r="B11" s="327">
        <v>574.9</v>
      </c>
      <c r="C11" s="328" t="s">
        <v>76</v>
      </c>
      <c r="D11" s="327">
        <v>30</v>
      </c>
      <c r="E11" s="327">
        <f t="shared" si="2"/>
        <v>544.9</v>
      </c>
      <c r="F11" s="326">
        <f t="shared" si="3"/>
        <v>5.21829883457993</v>
      </c>
      <c r="G11" s="326">
        <f t="shared" si="4"/>
        <v>30</v>
      </c>
      <c r="H11" s="326"/>
      <c r="I11" s="326"/>
      <c r="J11" s="326">
        <v>30</v>
      </c>
      <c r="K11" s="336"/>
    </row>
    <row r="12" ht="31.5" spans="1:11">
      <c r="A12" s="341" t="s">
        <v>38</v>
      </c>
      <c r="B12" s="327">
        <f>1132.83-30</f>
        <v>1102.83</v>
      </c>
      <c r="C12" s="329" t="s">
        <v>95</v>
      </c>
      <c r="D12" s="327">
        <v>273.53</v>
      </c>
      <c r="E12" s="327">
        <f t="shared" si="2"/>
        <v>829.3</v>
      </c>
      <c r="F12" s="326">
        <f t="shared" si="3"/>
        <v>24.8025534307191</v>
      </c>
      <c r="G12" s="326">
        <f t="shared" si="4"/>
        <v>273.53</v>
      </c>
      <c r="H12" s="327">
        <v>273.53</v>
      </c>
      <c r="I12" s="326"/>
      <c r="J12" s="326"/>
      <c r="K12" s="336"/>
    </row>
    <row r="13" spans="1:11">
      <c r="A13" s="341" t="s">
        <v>39</v>
      </c>
      <c r="B13" s="327">
        <v>78.87</v>
      </c>
      <c r="C13" s="328" t="s">
        <v>78</v>
      </c>
      <c r="D13" s="327">
        <v>74.005</v>
      </c>
      <c r="E13" s="327">
        <f t="shared" si="2"/>
        <v>4.86500000000001</v>
      </c>
      <c r="F13" s="326">
        <f t="shared" si="3"/>
        <v>93.8316216558894</v>
      </c>
      <c r="G13" s="326">
        <f t="shared" si="4"/>
        <v>74.005</v>
      </c>
      <c r="H13" s="326">
        <v>74.005</v>
      </c>
      <c r="I13" s="326"/>
      <c r="J13" s="326"/>
      <c r="K13" s="336"/>
    </row>
    <row r="14" spans="1:11">
      <c r="A14" s="341" t="s">
        <v>41</v>
      </c>
      <c r="B14" s="327">
        <v>1738.17</v>
      </c>
      <c r="C14" s="328" t="s">
        <v>80</v>
      </c>
      <c r="D14" s="327">
        <v>115.155</v>
      </c>
      <c r="E14" s="327">
        <f t="shared" si="2"/>
        <v>1623.015</v>
      </c>
      <c r="F14" s="326">
        <f t="shared" si="3"/>
        <v>6.62507119556775</v>
      </c>
      <c r="G14" s="326">
        <f t="shared" si="4"/>
        <v>115.155</v>
      </c>
      <c r="H14" s="326">
        <v>115.155</v>
      </c>
      <c r="I14" s="326"/>
      <c r="J14" s="326"/>
      <c r="K14" s="336"/>
    </row>
    <row r="15" spans="1:11">
      <c r="A15" s="341" t="s">
        <v>42</v>
      </c>
      <c r="B15" s="327">
        <v>88.19</v>
      </c>
      <c r="C15" s="330" t="s">
        <v>81</v>
      </c>
      <c r="D15" s="327">
        <v>22.11</v>
      </c>
      <c r="E15" s="327">
        <f t="shared" si="2"/>
        <v>66.08</v>
      </c>
      <c r="F15" s="326">
        <f t="shared" si="3"/>
        <v>25.0708697131194</v>
      </c>
      <c r="G15" s="326">
        <f t="shared" si="4"/>
        <v>22.11</v>
      </c>
      <c r="H15" s="326">
        <v>22.11</v>
      </c>
      <c r="I15" s="326"/>
      <c r="J15" s="326"/>
      <c r="K15" s="336"/>
    </row>
    <row r="16" spans="1:11">
      <c r="A16" s="341" t="s">
        <v>45</v>
      </c>
      <c r="B16" s="327">
        <v>7.58</v>
      </c>
      <c r="C16" s="330" t="s">
        <v>81</v>
      </c>
      <c r="D16" s="327"/>
      <c r="E16" s="327">
        <f t="shared" si="2"/>
        <v>7.58</v>
      </c>
      <c r="F16" s="326">
        <f t="shared" si="3"/>
        <v>0</v>
      </c>
      <c r="G16" s="326">
        <f t="shared" si="4"/>
        <v>0</v>
      </c>
      <c r="H16" s="326"/>
      <c r="I16" s="326"/>
      <c r="J16" s="326"/>
      <c r="K16" s="336"/>
    </row>
    <row r="17" spans="1:11">
      <c r="A17" s="341" t="s">
        <v>96</v>
      </c>
      <c r="B17" s="327">
        <v>597.95</v>
      </c>
      <c r="C17" s="330"/>
      <c r="D17" s="327">
        <v>515.74</v>
      </c>
      <c r="E17" s="327">
        <f t="shared" si="2"/>
        <v>82.21</v>
      </c>
      <c r="F17" s="326">
        <f t="shared" si="3"/>
        <v>86.251358809265</v>
      </c>
      <c r="G17" s="326">
        <f t="shared" si="4"/>
        <v>515.74</v>
      </c>
      <c r="H17" s="326"/>
      <c r="I17" s="326"/>
      <c r="J17" s="326"/>
      <c r="K17" s="336">
        <v>515.74</v>
      </c>
    </row>
    <row r="18" spans="1:11">
      <c r="A18" s="342" t="s">
        <v>97</v>
      </c>
      <c r="B18" s="327">
        <f>SUM(B19:B20)</f>
        <v>80.61</v>
      </c>
      <c r="C18" s="328"/>
      <c r="D18" s="327">
        <f>SUM(D19:D20)</f>
        <v>80.61</v>
      </c>
      <c r="E18" s="327">
        <f t="shared" si="2"/>
        <v>0</v>
      </c>
      <c r="F18" s="326">
        <f t="shared" si="3"/>
        <v>100</v>
      </c>
      <c r="G18" s="326">
        <f>SUM(G19:G20)</f>
        <v>80.61</v>
      </c>
      <c r="H18" s="326">
        <f>SUM(H19:H20)</f>
        <v>65</v>
      </c>
      <c r="I18" s="326">
        <f>SUM(I19:I20)</f>
        <v>0</v>
      </c>
      <c r="J18" s="326">
        <f>SUM(J19:J20)</f>
        <v>0</v>
      </c>
      <c r="K18" s="337">
        <f>SUM(K19:K20)</f>
        <v>15.61</v>
      </c>
    </row>
    <row r="19" spans="1:11">
      <c r="A19" s="341" t="s">
        <v>33</v>
      </c>
      <c r="B19" s="327">
        <v>65</v>
      </c>
      <c r="C19" s="328" t="s">
        <v>71</v>
      </c>
      <c r="D19" s="327">
        <v>65</v>
      </c>
      <c r="E19" s="327">
        <f t="shared" si="2"/>
        <v>0</v>
      </c>
      <c r="F19" s="326">
        <f t="shared" si="3"/>
        <v>100</v>
      </c>
      <c r="G19" s="326">
        <f t="shared" ref="G19:G24" si="5">SUM(H19:K19)</f>
        <v>65</v>
      </c>
      <c r="H19" s="326">
        <v>65</v>
      </c>
      <c r="I19" s="326"/>
      <c r="J19" s="326"/>
      <c r="K19" s="336"/>
    </row>
    <row r="20" spans="1:11">
      <c r="A20" s="341" t="s">
        <v>96</v>
      </c>
      <c r="B20" s="327">
        <v>15.61</v>
      </c>
      <c r="C20" s="328"/>
      <c r="D20" s="327">
        <v>15.61</v>
      </c>
      <c r="E20" s="327">
        <f t="shared" si="2"/>
        <v>0</v>
      </c>
      <c r="F20" s="326">
        <f t="shared" si="3"/>
        <v>100</v>
      </c>
      <c r="G20" s="326">
        <f t="shared" si="5"/>
        <v>15.61</v>
      </c>
      <c r="H20" s="326"/>
      <c r="I20" s="326"/>
      <c r="J20" s="326"/>
      <c r="K20" s="336">
        <v>15.61</v>
      </c>
    </row>
    <row r="21" spans="1:11">
      <c r="A21" s="342" t="s">
        <v>98</v>
      </c>
      <c r="B21" s="327">
        <v>20</v>
      </c>
      <c r="C21" s="328"/>
      <c r="D21" s="327"/>
      <c r="E21" s="327">
        <f t="shared" si="2"/>
        <v>20</v>
      </c>
      <c r="F21" s="326">
        <f t="shared" si="3"/>
        <v>0</v>
      </c>
      <c r="G21" s="326">
        <f t="shared" si="5"/>
        <v>0</v>
      </c>
      <c r="H21" s="326"/>
      <c r="I21" s="326"/>
      <c r="J21" s="326"/>
      <c r="K21" s="336"/>
    </row>
    <row r="22" spans="1:11">
      <c r="A22" s="342" t="s">
        <v>99</v>
      </c>
      <c r="B22" s="327">
        <v>40</v>
      </c>
      <c r="C22" s="328"/>
      <c r="D22" s="327"/>
      <c r="E22" s="327">
        <f t="shared" si="2"/>
        <v>40</v>
      </c>
      <c r="F22" s="326">
        <f t="shared" si="3"/>
        <v>0</v>
      </c>
      <c r="G22" s="326">
        <f t="shared" si="5"/>
        <v>0</v>
      </c>
      <c r="H22" s="326"/>
      <c r="I22" s="326"/>
      <c r="J22" s="326"/>
      <c r="K22" s="336"/>
    </row>
    <row r="23" spans="1:11">
      <c r="A23" s="342" t="s">
        <v>100</v>
      </c>
      <c r="B23" s="327">
        <v>1127</v>
      </c>
      <c r="C23" s="327"/>
      <c r="D23" s="327"/>
      <c r="E23" s="327">
        <f t="shared" si="2"/>
        <v>1127</v>
      </c>
      <c r="F23" s="326">
        <f t="shared" si="3"/>
        <v>0</v>
      </c>
      <c r="G23" s="326">
        <f t="shared" si="5"/>
        <v>0</v>
      </c>
      <c r="H23" s="326"/>
      <c r="I23" s="326"/>
      <c r="J23" s="326"/>
      <c r="K23" s="336"/>
    </row>
    <row r="24" spans="1:11">
      <c r="A24" s="342" t="s">
        <v>101</v>
      </c>
      <c r="B24" s="327">
        <v>2700</v>
      </c>
      <c r="C24" s="327"/>
      <c r="D24" s="327">
        <v>570.76</v>
      </c>
      <c r="E24" s="327">
        <f t="shared" si="2"/>
        <v>2129.24</v>
      </c>
      <c r="F24" s="326">
        <f t="shared" si="3"/>
        <v>21.1392592592593</v>
      </c>
      <c r="G24" s="326">
        <f t="shared" si="5"/>
        <v>570.76</v>
      </c>
      <c r="H24" s="326"/>
      <c r="I24" s="326"/>
      <c r="J24" s="326"/>
      <c r="K24" s="336">
        <v>570.76</v>
      </c>
    </row>
    <row r="25" spans="1:11">
      <c r="A25" s="343" t="s">
        <v>102</v>
      </c>
      <c r="B25" s="331">
        <f>SUM(B26:B29)</f>
        <v>942</v>
      </c>
      <c r="C25" s="331">
        <f>SUM(C26:C29)</f>
        <v>0</v>
      </c>
      <c r="D25" s="331">
        <f>SUM(D26:D29)</f>
        <v>867.8</v>
      </c>
      <c r="E25" s="327">
        <f t="shared" si="2"/>
        <v>74.2</v>
      </c>
      <c r="F25" s="326">
        <f t="shared" si="3"/>
        <v>92.1231422505308</v>
      </c>
      <c r="G25" s="326">
        <f>SUM(G26:G29)</f>
        <v>867.8</v>
      </c>
      <c r="H25" s="326">
        <f>SUM(H26:H29)</f>
        <v>767.8</v>
      </c>
      <c r="I25" s="326">
        <f>SUM(I26:I29)</f>
        <v>0</v>
      </c>
      <c r="J25" s="326">
        <f>SUM(J26:J29)</f>
        <v>100</v>
      </c>
      <c r="K25" s="337">
        <f>SUM(K26:K29)</f>
        <v>0</v>
      </c>
    </row>
    <row r="26" spans="1:11">
      <c r="A26" s="344" t="s">
        <v>33</v>
      </c>
      <c r="B26" s="331">
        <v>176</v>
      </c>
      <c r="C26" s="328" t="s">
        <v>71</v>
      </c>
      <c r="D26" s="331">
        <v>176</v>
      </c>
      <c r="E26" s="327">
        <f t="shared" si="2"/>
        <v>0</v>
      </c>
      <c r="F26" s="326">
        <f t="shared" si="3"/>
        <v>100</v>
      </c>
      <c r="G26" s="326">
        <f>SUM(H26:K26)</f>
        <v>176</v>
      </c>
      <c r="H26" s="332">
        <v>176</v>
      </c>
      <c r="I26" s="332"/>
      <c r="J26" s="332"/>
      <c r="K26" s="338"/>
    </row>
    <row r="27" spans="1:11">
      <c r="A27" s="344" t="s">
        <v>38</v>
      </c>
      <c r="B27" s="331">
        <v>166</v>
      </c>
      <c r="C27" s="333" t="s">
        <v>103</v>
      </c>
      <c r="D27" s="331">
        <v>165.3</v>
      </c>
      <c r="E27" s="327">
        <f t="shared" si="2"/>
        <v>0.699999999999989</v>
      </c>
      <c r="F27" s="326">
        <f t="shared" si="3"/>
        <v>99.5783132530121</v>
      </c>
      <c r="G27" s="326">
        <f>SUM(H27:K27)</f>
        <v>165.3</v>
      </c>
      <c r="H27" s="332">
        <v>165.3</v>
      </c>
      <c r="I27" s="332"/>
      <c r="J27" s="332"/>
      <c r="K27" s="338"/>
    </row>
    <row r="28" spans="1:11">
      <c r="A28" s="344" t="s">
        <v>37</v>
      </c>
      <c r="B28" s="331">
        <v>100</v>
      </c>
      <c r="C28" s="328" t="s">
        <v>76</v>
      </c>
      <c r="D28" s="331">
        <v>100</v>
      </c>
      <c r="E28" s="327">
        <f t="shared" si="2"/>
        <v>0</v>
      </c>
      <c r="F28" s="326">
        <f t="shared" si="3"/>
        <v>100</v>
      </c>
      <c r="G28" s="326">
        <f>SUM(H28:K28)</f>
        <v>100</v>
      </c>
      <c r="H28" s="332"/>
      <c r="I28" s="332"/>
      <c r="J28" s="332">
        <v>100</v>
      </c>
      <c r="K28" s="338"/>
    </row>
    <row r="29" spans="1:11">
      <c r="A29" s="344" t="s">
        <v>41</v>
      </c>
      <c r="B29" s="331">
        <v>500</v>
      </c>
      <c r="C29" s="328" t="s">
        <v>80</v>
      </c>
      <c r="D29" s="331">
        <v>426.5</v>
      </c>
      <c r="E29" s="327">
        <f t="shared" si="2"/>
        <v>73.5</v>
      </c>
      <c r="F29" s="326">
        <f t="shared" si="3"/>
        <v>85.3</v>
      </c>
      <c r="G29" s="326">
        <f>SUM(H29:K29)</f>
        <v>426.5</v>
      </c>
      <c r="H29" s="332">
        <v>426.5</v>
      </c>
      <c r="I29" s="332"/>
      <c r="J29" s="332"/>
      <c r="K29" s="338"/>
    </row>
    <row r="30" ht="15" spans="1:11">
      <c r="A30" s="345" t="s">
        <v>27</v>
      </c>
      <c r="B30" s="334">
        <f>B25+B5</f>
        <v>14687.56</v>
      </c>
      <c r="C30" s="334"/>
      <c r="D30" s="334">
        <f t="shared" ref="D30:K30" si="6">D25+D5</f>
        <v>6934.3871</v>
      </c>
      <c r="E30" s="334">
        <f t="shared" si="6"/>
        <v>7753.1729</v>
      </c>
      <c r="F30" s="334">
        <f t="shared" si="6"/>
        <v>136.258027260672</v>
      </c>
      <c r="G30" s="334">
        <f t="shared" si="6"/>
        <v>6934.3871</v>
      </c>
      <c r="H30" s="334">
        <f t="shared" si="6"/>
        <v>3399.955</v>
      </c>
      <c r="I30" s="334">
        <f t="shared" si="6"/>
        <v>1986</v>
      </c>
      <c r="J30" s="334">
        <f t="shared" si="6"/>
        <v>413.4721</v>
      </c>
      <c r="K30" s="334">
        <f t="shared" si="6"/>
        <v>1134.96</v>
      </c>
    </row>
    <row r="31" spans="1:1">
      <c r="A31" s="83" t="s">
        <v>104</v>
      </c>
    </row>
    <row r="32" spans="1:1">
      <c r="A32" s="22" t="s">
        <v>105</v>
      </c>
    </row>
  </sheetData>
  <mergeCells count="9">
    <mergeCell ref="A1:K1"/>
    <mergeCell ref="A2:H2"/>
    <mergeCell ref="G3:K3"/>
    <mergeCell ref="A3:A4"/>
    <mergeCell ref="B3:B4"/>
    <mergeCell ref="C3:C4"/>
    <mergeCell ref="D3:D4"/>
    <mergeCell ref="E3:E4"/>
    <mergeCell ref="F3:F4"/>
  </mergeCells>
  <pageMargins left="0.94375" right="0.393055555555556" top="0.707638888888889" bottom="0.590277777777778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zoomScale="190" zoomScaleNormal="190" topLeftCell="A6" workbookViewId="0">
      <selection activeCell="N14" sqref="N14"/>
    </sheetView>
  </sheetViews>
  <sheetFormatPr defaultColWidth="9" defaultRowHeight="14.25"/>
  <cols>
    <col min="1" max="1" width="17.0833333333333" customWidth="1"/>
    <col min="2" max="2" width="10" customWidth="1"/>
    <col min="3" max="3" width="15.3333333333333" customWidth="1"/>
    <col min="4" max="4" width="10.5833333333333" customWidth="1"/>
    <col min="5" max="5" width="10" customWidth="1"/>
    <col min="6" max="6" width="8.5" customWidth="1"/>
    <col min="7" max="7" width="10.0833333333333" customWidth="1"/>
    <col min="8" max="8" width="10.5833333333333" customWidth="1"/>
    <col min="9" max="9" width="8.75" customWidth="1"/>
    <col min="10" max="10" width="9.33333333333333" customWidth="1"/>
    <col min="11" max="11" width="8.08333333333333" customWidth="1"/>
  </cols>
  <sheetData>
    <row r="1" ht="21" spans="1:11">
      <c r="A1" s="268" t="s">
        <v>89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11.15" customHeight="1" spans="1:11">
      <c r="A2" s="324" t="s">
        <v>106</v>
      </c>
      <c r="B2" s="325"/>
      <c r="C2" s="325"/>
      <c r="D2" s="325"/>
      <c r="E2" s="325"/>
      <c r="F2" s="325"/>
      <c r="G2" s="325"/>
      <c r="H2" s="325"/>
      <c r="I2" s="291"/>
      <c r="J2" s="16"/>
      <c r="K2" s="16" t="s">
        <v>3</v>
      </c>
    </row>
    <row r="3" spans="1:11">
      <c r="A3" s="302" t="s">
        <v>29</v>
      </c>
      <c r="B3" s="303" t="s">
        <v>91</v>
      </c>
      <c r="C3" s="303" t="s">
        <v>62</v>
      </c>
      <c r="D3" s="304" t="s">
        <v>63</v>
      </c>
      <c r="E3" s="303" t="s">
        <v>57</v>
      </c>
      <c r="F3" s="304" t="s">
        <v>7</v>
      </c>
      <c r="G3" s="305" t="s">
        <v>65</v>
      </c>
      <c r="H3" s="305"/>
      <c r="I3" s="305"/>
      <c r="J3" s="305"/>
      <c r="K3" s="318"/>
    </row>
    <row r="4" spans="1:11">
      <c r="A4" s="306"/>
      <c r="B4" s="296"/>
      <c r="C4" s="296"/>
      <c r="D4" s="297"/>
      <c r="E4" s="296"/>
      <c r="F4" s="297"/>
      <c r="G4" s="296" t="s">
        <v>66</v>
      </c>
      <c r="H4" s="296" t="s">
        <v>67</v>
      </c>
      <c r="I4" s="296" t="s">
        <v>92</v>
      </c>
      <c r="J4" s="297" t="s">
        <v>69</v>
      </c>
      <c r="K4" s="319" t="s">
        <v>70</v>
      </c>
    </row>
    <row r="5" ht="14.15" customHeight="1" spans="1:11">
      <c r="A5" s="307" t="s">
        <v>93</v>
      </c>
      <c r="B5" s="296">
        <f t="shared" ref="B5:K5" si="0">SUM(B6,B20,B23,B24,B25,B26)</f>
        <v>13793.36</v>
      </c>
      <c r="C5" s="296"/>
      <c r="D5" s="296">
        <f t="shared" si="0"/>
        <v>6083.5871</v>
      </c>
      <c r="E5" s="296">
        <f t="shared" si="0"/>
        <v>7709.7729</v>
      </c>
      <c r="F5" s="326">
        <f t="shared" ref="F5:F18" si="1">D5/B5*100</f>
        <v>44.1051861185382</v>
      </c>
      <c r="G5" s="296">
        <f t="shared" si="0"/>
        <v>6083.5871</v>
      </c>
      <c r="H5" s="296">
        <f t="shared" si="0"/>
        <v>2632.155</v>
      </c>
      <c r="I5" s="296">
        <f t="shared" si="0"/>
        <v>1986</v>
      </c>
      <c r="J5" s="296">
        <f t="shared" si="0"/>
        <v>313.4721</v>
      </c>
      <c r="K5" s="319">
        <f t="shared" si="0"/>
        <v>1151.96</v>
      </c>
    </row>
    <row r="6" ht="14.15" customHeight="1" spans="1:11">
      <c r="A6" s="309" t="s">
        <v>94</v>
      </c>
      <c r="B6" s="296">
        <f t="shared" ref="B6:K6" si="2">SUM(B7:B19)</f>
        <v>9825.75</v>
      </c>
      <c r="C6" s="296"/>
      <c r="D6" s="296">
        <f t="shared" si="2"/>
        <v>5422.2171</v>
      </c>
      <c r="E6" s="296">
        <f t="shared" si="2"/>
        <v>4403.5329</v>
      </c>
      <c r="F6" s="326">
        <f t="shared" si="1"/>
        <v>55.183747805511</v>
      </c>
      <c r="G6" s="296">
        <f t="shared" si="2"/>
        <v>5422.2171</v>
      </c>
      <c r="H6" s="296">
        <f t="shared" si="2"/>
        <v>2567.155</v>
      </c>
      <c r="I6" s="296">
        <f t="shared" si="2"/>
        <v>1986</v>
      </c>
      <c r="J6" s="296">
        <f t="shared" si="2"/>
        <v>313.4721</v>
      </c>
      <c r="K6" s="319">
        <f t="shared" si="2"/>
        <v>555.59</v>
      </c>
    </row>
    <row r="7" ht="14.15" customHeight="1" spans="1:11">
      <c r="A7" s="310" t="s">
        <v>33</v>
      </c>
      <c r="B7" s="327">
        <f>1454.26+664</f>
        <v>2118.26</v>
      </c>
      <c r="C7" s="328" t="s">
        <v>71</v>
      </c>
      <c r="D7" s="327">
        <f>2141.055+6.3-65</f>
        <v>2082.355</v>
      </c>
      <c r="E7" s="327">
        <f t="shared" ref="E7:E18" si="3">B7-D7</f>
        <v>35.9050000000002</v>
      </c>
      <c r="F7" s="326">
        <f t="shared" si="1"/>
        <v>98.3049767261809</v>
      </c>
      <c r="G7" s="326">
        <f t="shared" ref="G7:G19" si="4">SUM(H7:K7)</f>
        <v>2082.355</v>
      </c>
      <c r="H7" s="327">
        <v>2082.355</v>
      </c>
      <c r="I7" s="326"/>
      <c r="K7" s="336"/>
    </row>
    <row r="8" ht="14.15" customHeight="1" spans="1:11">
      <c r="A8" s="310" t="s">
        <v>34</v>
      </c>
      <c r="B8" s="327">
        <v>5</v>
      </c>
      <c r="C8" s="328" t="s">
        <v>73</v>
      </c>
      <c r="D8" s="327">
        <v>4.4721</v>
      </c>
      <c r="E8" s="327">
        <f t="shared" si="3"/>
        <v>0.5279</v>
      </c>
      <c r="F8" s="326">
        <f t="shared" si="1"/>
        <v>89.442</v>
      </c>
      <c r="G8" s="326">
        <f t="shared" si="4"/>
        <v>4.4721</v>
      </c>
      <c r="H8" s="326"/>
      <c r="I8" s="326"/>
      <c r="J8" s="327">
        <v>4.4721</v>
      </c>
      <c r="K8" s="336"/>
    </row>
    <row r="9" ht="14.15" customHeight="1" spans="1:11">
      <c r="A9" s="310" t="s">
        <v>35</v>
      </c>
      <c r="B9" s="327">
        <f>3215.2-230</f>
        <v>2985.2</v>
      </c>
      <c r="C9" s="328" t="s">
        <v>68</v>
      </c>
      <c r="D9" s="327">
        <v>1986</v>
      </c>
      <c r="E9" s="327">
        <f t="shared" si="3"/>
        <v>999.2</v>
      </c>
      <c r="F9" s="326">
        <f t="shared" si="1"/>
        <v>66.5282058153558</v>
      </c>
      <c r="G9" s="326">
        <f t="shared" si="4"/>
        <v>1986</v>
      </c>
      <c r="H9" s="326"/>
      <c r="I9" s="327">
        <v>1986</v>
      </c>
      <c r="J9" s="326"/>
      <c r="K9" s="336"/>
    </row>
    <row r="10" ht="31" customHeight="1" spans="1:11">
      <c r="A10" s="310" t="s">
        <v>36</v>
      </c>
      <c r="B10" s="327">
        <v>481</v>
      </c>
      <c r="C10" s="329" t="s">
        <v>75</v>
      </c>
      <c r="D10" s="327">
        <v>311.85</v>
      </c>
      <c r="E10" s="327">
        <f t="shared" si="3"/>
        <v>169.15</v>
      </c>
      <c r="F10" s="326">
        <f t="shared" si="1"/>
        <v>64.8336798336798</v>
      </c>
      <c r="G10" s="326">
        <f t="shared" si="4"/>
        <v>311.85</v>
      </c>
      <c r="I10" s="326"/>
      <c r="J10" s="326">
        <v>279</v>
      </c>
      <c r="K10" s="336">
        <f>18.85+14</f>
        <v>32.85</v>
      </c>
    </row>
    <row r="11" ht="14.15" customHeight="1" spans="1:11">
      <c r="A11" s="310" t="s">
        <v>37</v>
      </c>
      <c r="B11" s="327">
        <v>574.9</v>
      </c>
      <c r="C11" s="328" t="s">
        <v>76</v>
      </c>
      <c r="D11" s="327">
        <v>30</v>
      </c>
      <c r="E11" s="327">
        <f t="shared" si="3"/>
        <v>544.9</v>
      </c>
      <c r="F11" s="326">
        <f t="shared" si="1"/>
        <v>5.21829883457993</v>
      </c>
      <c r="G11" s="326">
        <f t="shared" si="4"/>
        <v>30</v>
      </c>
      <c r="H11" s="326"/>
      <c r="I11" s="326"/>
      <c r="J11" s="326">
        <v>30</v>
      </c>
      <c r="K11" s="336"/>
    </row>
    <row r="12" ht="33" customHeight="1" spans="1:11">
      <c r="A12" s="310" t="s">
        <v>38</v>
      </c>
      <c r="B12" s="327">
        <f>1132.83-30</f>
        <v>1102.83</v>
      </c>
      <c r="C12" s="329" t="s">
        <v>95</v>
      </c>
      <c r="D12" s="327">
        <v>273.53</v>
      </c>
      <c r="E12" s="327">
        <f t="shared" si="3"/>
        <v>829.3</v>
      </c>
      <c r="F12" s="326">
        <f t="shared" si="1"/>
        <v>24.8025534307191</v>
      </c>
      <c r="G12" s="326">
        <f t="shared" si="4"/>
        <v>273.53</v>
      </c>
      <c r="H12" s="327">
        <v>273.53</v>
      </c>
      <c r="I12" s="326"/>
      <c r="J12" s="326"/>
      <c r="K12" s="336"/>
    </row>
    <row r="13" ht="14.15" customHeight="1" spans="1:11">
      <c r="A13" s="310" t="s">
        <v>39</v>
      </c>
      <c r="B13" s="327">
        <v>78.87</v>
      </c>
      <c r="C13" s="328" t="s">
        <v>78</v>
      </c>
      <c r="D13" s="327">
        <v>74.005</v>
      </c>
      <c r="E13" s="327">
        <f t="shared" si="3"/>
        <v>4.86500000000001</v>
      </c>
      <c r="F13" s="326">
        <f t="shared" si="1"/>
        <v>93.8316216558894</v>
      </c>
      <c r="G13" s="326">
        <f t="shared" si="4"/>
        <v>74.005</v>
      </c>
      <c r="H13" s="326">
        <v>74.005</v>
      </c>
      <c r="I13" s="326"/>
      <c r="J13" s="326"/>
      <c r="K13" s="336"/>
    </row>
    <row r="14" ht="14.15" customHeight="1" spans="1:11">
      <c r="A14" s="310" t="s">
        <v>41</v>
      </c>
      <c r="B14" s="327">
        <v>1738.17</v>
      </c>
      <c r="C14" s="328" t="s">
        <v>80</v>
      </c>
      <c r="D14" s="327">
        <v>115.155</v>
      </c>
      <c r="E14" s="327">
        <f t="shared" si="3"/>
        <v>1623.015</v>
      </c>
      <c r="F14" s="326">
        <f t="shared" si="1"/>
        <v>6.62507119556775</v>
      </c>
      <c r="G14" s="326">
        <f t="shared" si="4"/>
        <v>115.155</v>
      </c>
      <c r="H14" s="326">
        <v>115.155</v>
      </c>
      <c r="I14" s="326"/>
      <c r="J14" s="326"/>
      <c r="K14" s="336"/>
    </row>
    <row r="15" ht="14.15" customHeight="1" spans="1:11">
      <c r="A15" s="310" t="s">
        <v>42</v>
      </c>
      <c r="B15" s="327">
        <v>88.19</v>
      </c>
      <c r="C15" s="330" t="s">
        <v>81</v>
      </c>
      <c r="D15" s="327">
        <v>22.11</v>
      </c>
      <c r="E15" s="327">
        <f t="shared" si="3"/>
        <v>66.08</v>
      </c>
      <c r="F15" s="326">
        <f t="shared" si="1"/>
        <v>25.0708697131194</v>
      </c>
      <c r="G15" s="326">
        <f t="shared" si="4"/>
        <v>22.11</v>
      </c>
      <c r="H15" s="326">
        <v>22.11</v>
      </c>
      <c r="I15" s="326"/>
      <c r="J15" s="326"/>
      <c r="K15" s="336"/>
    </row>
    <row r="16" ht="14.15" customHeight="1" spans="1:11">
      <c r="A16" s="310" t="s">
        <v>45</v>
      </c>
      <c r="B16" s="327">
        <v>7.58</v>
      </c>
      <c r="C16" s="330" t="s">
        <v>81</v>
      </c>
      <c r="D16" s="327"/>
      <c r="E16" s="327">
        <f t="shared" si="3"/>
        <v>7.58</v>
      </c>
      <c r="F16" s="326">
        <f t="shared" si="1"/>
        <v>0</v>
      </c>
      <c r="G16" s="326">
        <f t="shared" si="4"/>
        <v>0</v>
      </c>
      <c r="H16" s="326"/>
      <c r="I16" s="326"/>
      <c r="J16" s="326"/>
      <c r="K16" s="336"/>
    </row>
    <row r="17" ht="14.15" customHeight="1" spans="1:11">
      <c r="A17" s="310" t="s">
        <v>38</v>
      </c>
      <c r="B17" s="327">
        <v>16</v>
      </c>
      <c r="C17" s="330" t="s">
        <v>107</v>
      </c>
      <c r="D17" s="327"/>
      <c r="E17" s="327">
        <f t="shared" si="3"/>
        <v>16</v>
      </c>
      <c r="F17" s="326">
        <f t="shared" si="1"/>
        <v>0</v>
      </c>
      <c r="G17" s="326">
        <f t="shared" si="4"/>
        <v>0</v>
      </c>
      <c r="H17" s="326"/>
      <c r="I17" s="326"/>
      <c r="J17" s="326"/>
      <c r="K17" s="336"/>
    </row>
    <row r="18" ht="14.15" customHeight="1" spans="1:11">
      <c r="A18" s="310" t="s">
        <v>37</v>
      </c>
      <c r="B18" s="327">
        <v>31.8</v>
      </c>
      <c r="C18" s="330" t="s">
        <v>108</v>
      </c>
      <c r="D18" s="327"/>
      <c r="E18" s="327">
        <f t="shared" si="3"/>
        <v>31.8</v>
      </c>
      <c r="F18" s="326">
        <f t="shared" si="1"/>
        <v>0</v>
      </c>
      <c r="G18" s="326">
        <f t="shared" si="4"/>
        <v>0</v>
      </c>
      <c r="H18" s="326"/>
      <c r="I18" s="326"/>
      <c r="J18" s="326"/>
      <c r="K18" s="336"/>
    </row>
    <row r="19" ht="14.15" customHeight="1" spans="1:11">
      <c r="A19" s="310" t="s">
        <v>96</v>
      </c>
      <c r="B19" s="327">
        <v>597.95</v>
      </c>
      <c r="C19" s="330"/>
      <c r="D19" s="327">
        <f>7+515.74</f>
        <v>522.74</v>
      </c>
      <c r="E19" s="327">
        <f t="shared" ref="E19:E31" si="5">B19-D19</f>
        <v>75.21</v>
      </c>
      <c r="F19" s="326">
        <f t="shared" ref="F19:F32" si="6">D19/B19*100</f>
        <v>87.4220252529476</v>
      </c>
      <c r="G19" s="326">
        <f t="shared" si="4"/>
        <v>522.74</v>
      </c>
      <c r="H19" s="326"/>
      <c r="I19" s="326"/>
      <c r="J19" s="326"/>
      <c r="K19" s="336">
        <f>7+515.74</f>
        <v>522.74</v>
      </c>
    </row>
    <row r="20" ht="14.15" customHeight="1" spans="1:11">
      <c r="A20" s="310" t="s">
        <v>97</v>
      </c>
      <c r="B20" s="327">
        <f t="shared" ref="B20:K20" si="7">SUM(B21:B22)</f>
        <v>80.61</v>
      </c>
      <c r="C20" s="328"/>
      <c r="D20" s="327">
        <f t="shared" si="7"/>
        <v>80.61</v>
      </c>
      <c r="E20" s="327">
        <f t="shared" si="5"/>
        <v>0</v>
      </c>
      <c r="F20" s="326">
        <f t="shared" si="6"/>
        <v>100</v>
      </c>
      <c r="G20" s="326">
        <f t="shared" si="7"/>
        <v>80.61</v>
      </c>
      <c r="H20" s="326">
        <f t="shared" si="7"/>
        <v>65</v>
      </c>
      <c r="I20" s="326">
        <f t="shared" si="7"/>
        <v>0</v>
      </c>
      <c r="J20" s="326">
        <f t="shared" si="7"/>
        <v>0</v>
      </c>
      <c r="K20" s="337">
        <f t="shared" si="7"/>
        <v>15.61</v>
      </c>
    </row>
    <row r="21" ht="14.15" customHeight="1" spans="1:11">
      <c r="A21" s="310" t="s">
        <v>33</v>
      </c>
      <c r="B21" s="327">
        <v>65</v>
      </c>
      <c r="C21" s="328" t="s">
        <v>71</v>
      </c>
      <c r="D21" s="327">
        <v>65</v>
      </c>
      <c r="E21" s="327">
        <f t="shared" si="5"/>
        <v>0</v>
      </c>
      <c r="F21" s="326">
        <f t="shared" si="6"/>
        <v>100</v>
      </c>
      <c r="G21" s="326">
        <f t="shared" ref="G21:G26" si="8">SUM(H21:K21)</f>
        <v>65</v>
      </c>
      <c r="H21" s="326">
        <v>65</v>
      </c>
      <c r="I21" s="326"/>
      <c r="J21" s="326"/>
      <c r="K21" s="336"/>
    </row>
    <row r="22" ht="14.15" customHeight="1" spans="1:11">
      <c r="A22" s="310" t="s">
        <v>96</v>
      </c>
      <c r="B22" s="327">
        <v>15.61</v>
      </c>
      <c r="C22" s="328"/>
      <c r="D22" s="327">
        <v>15.61</v>
      </c>
      <c r="E22" s="327">
        <f t="shared" si="5"/>
        <v>0</v>
      </c>
      <c r="F22" s="326">
        <f t="shared" si="6"/>
        <v>100</v>
      </c>
      <c r="G22" s="326">
        <f t="shared" si="8"/>
        <v>15.61</v>
      </c>
      <c r="H22" s="326"/>
      <c r="I22" s="326"/>
      <c r="J22" s="326"/>
      <c r="K22" s="336">
        <v>15.61</v>
      </c>
    </row>
    <row r="23" ht="14.15" customHeight="1" spans="1:11">
      <c r="A23" s="310" t="s">
        <v>98</v>
      </c>
      <c r="B23" s="327">
        <v>20</v>
      </c>
      <c r="C23" s="328"/>
      <c r="D23" s="327">
        <v>10</v>
      </c>
      <c r="E23" s="327">
        <f t="shared" si="5"/>
        <v>10</v>
      </c>
      <c r="F23" s="326">
        <f t="shared" si="6"/>
        <v>50</v>
      </c>
      <c r="G23" s="326">
        <f t="shared" si="8"/>
        <v>10</v>
      </c>
      <c r="H23" s="326"/>
      <c r="I23" s="326"/>
      <c r="J23" s="326"/>
      <c r="K23" s="336">
        <v>10</v>
      </c>
    </row>
    <row r="24" ht="14.15" customHeight="1" spans="1:11">
      <c r="A24" s="310" t="s">
        <v>99</v>
      </c>
      <c r="B24" s="327">
        <v>40</v>
      </c>
      <c r="C24" s="328"/>
      <c r="D24" s="327"/>
      <c r="E24" s="327">
        <f t="shared" si="5"/>
        <v>40</v>
      </c>
      <c r="F24" s="326">
        <f t="shared" si="6"/>
        <v>0</v>
      </c>
      <c r="G24" s="326">
        <f t="shared" si="8"/>
        <v>0</v>
      </c>
      <c r="H24" s="326"/>
      <c r="I24" s="326"/>
      <c r="J24" s="326"/>
      <c r="K24" s="336"/>
    </row>
    <row r="25" ht="14.15" customHeight="1" spans="1:11">
      <c r="A25" s="310" t="s">
        <v>100</v>
      </c>
      <c r="B25" s="327">
        <v>1127</v>
      </c>
      <c r="C25" s="327"/>
      <c r="D25" s="327"/>
      <c r="E25" s="327">
        <f t="shared" si="5"/>
        <v>1127</v>
      </c>
      <c r="F25" s="326">
        <f t="shared" si="6"/>
        <v>0</v>
      </c>
      <c r="G25" s="326">
        <f t="shared" si="8"/>
        <v>0</v>
      </c>
      <c r="H25" s="326"/>
      <c r="I25" s="326"/>
      <c r="J25" s="326"/>
      <c r="K25" s="336"/>
    </row>
    <row r="26" ht="14.15" customHeight="1" spans="1:11">
      <c r="A26" s="310" t="s">
        <v>101</v>
      </c>
      <c r="B26" s="327">
        <v>2700</v>
      </c>
      <c r="C26" s="327"/>
      <c r="D26" s="327">
        <v>570.76</v>
      </c>
      <c r="E26" s="327">
        <f t="shared" si="5"/>
        <v>2129.24</v>
      </c>
      <c r="F26" s="326">
        <f t="shared" si="6"/>
        <v>21.1392592592593</v>
      </c>
      <c r="G26" s="326">
        <f t="shared" si="8"/>
        <v>570.76</v>
      </c>
      <c r="H26" s="326"/>
      <c r="I26" s="326"/>
      <c r="J26" s="326"/>
      <c r="K26" s="336">
        <v>570.76</v>
      </c>
    </row>
    <row r="27" ht="14.15" customHeight="1" spans="1:11">
      <c r="A27" s="312" t="s">
        <v>102</v>
      </c>
      <c r="B27" s="331">
        <f t="shared" ref="B27:K27" si="9">SUM(B28:B31)</f>
        <v>942</v>
      </c>
      <c r="C27" s="331">
        <f t="shared" si="9"/>
        <v>0</v>
      </c>
      <c r="D27" s="331">
        <f t="shared" si="9"/>
        <v>867.8</v>
      </c>
      <c r="E27" s="327">
        <f t="shared" si="5"/>
        <v>74.2</v>
      </c>
      <c r="F27" s="326">
        <f t="shared" si="6"/>
        <v>92.1231422505308</v>
      </c>
      <c r="G27" s="326">
        <f t="shared" si="9"/>
        <v>867.8</v>
      </c>
      <c r="H27" s="326">
        <f t="shared" si="9"/>
        <v>767.8</v>
      </c>
      <c r="I27" s="326">
        <f t="shared" si="9"/>
        <v>0</v>
      </c>
      <c r="J27" s="326">
        <f t="shared" si="9"/>
        <v>100</v>
      </c>
      <c r="K27" s="337">
        <f t="shared" si="9"/>
        <v>0</v>
      </c>
    </row>
    <row r="28" ht="14.15" customHeight="1" spans="1:11">
      <c r="A28" s="314" t="s">
        <v>33</v>
      </c>
      <c r="B28" s="331">
        <v>176</v>
      </c>
      <c r="C28" s="328" t="s">
        <v>71</v>
      </c>
      <c r="D28" s="331">
        <v>176</v>
      </c>
      <c r="E28" s="327">
        <f t="shared" si="5"/>
        <v>0</v>
      </c>
      <c r="F28" s="326">
        <f t="shared" si="6"/>
        <v>100</v>
      </c>
      <c r="G28" s="326">
        <f>SUM(H28:K28)</f>
        <v>176</v>
      </c>
      <c r="H28" s="332">
        <v>176</v>
      </c>
      <c r="I28" s="332"/>
      <c r="J28" s="332"/>
      <c r="K28" s="338"/>
    </row>
    <row r="29" ht="14.15" customHeight="1" spans="1:11">
      <c r="A29" s="314" t="s">
        <v>38</v>
      </c>
      <c r="B29" s="331">
        <v>166</v>
      </c>
      <c r="C29" s="333" t="s">
        <v>103</v>
      </c>
      <c r="D29" s="331">
        <v>165.3</v>
      </c>
      <c r="E29" s="327">
        <f t="shared" si="5"/>
        <v>0.699999999999989</v>
      </c>
      <c r="F29" s="326">
        <f t="shared" si="6"/>
        <v>99.5783132530121</v>
      </c>
      <c r="G29" s="326">
        <f>SUM(H29:K29)</f>
        <v>165.3</v>
      </c>
      <c r="H29" s="332">
        <v>165.3</v>
      </c>
      <c r="I29" s="332"/>
      <c r="J29" s="332"/>
      <c r="K29" s="338"/>
    </row>
    <row r="30" ht="14.15" customHeight="1" spans="1:11">
      <c r="A30" s="314" t="s">
        <v>37</v>
      </c>
      <c r="B30" s="331">
        <v>100</v>
      </c>
      <c r="C30" s="328" t="s">
        <v>76</v>
      </c>
      <c r="D30" s="331">
        <v>100</v>
      </c>
      <c r="E30" s="327">
        <f t="shared" si="5"/>
        <v>0</v>
      </c>
      <c r="F30" s="326">
        <f t="shared" si="6"/>
        <v>100</v>
      </c>
      <c r="G30" s="326">
        <f>SUM(H30:K30)</f>
        <v>100</v>
      </c>
      <c r="H30" s="332"/>
      <c r="I30" s="332"/>
      <c r="J30" s="332">
        <v>100</v>
      </c>
      <c r="K30" s="338"/>
    </row>
    <row r="31" ht="14.15" customHeight="1" spans="1:11">
      <c r="A31" s="314" t="s">
        <v>41</v>
      </c>
      <c r="B31" s="331">
        <v>500</v>
      </c>
      <c r="C31" s="328" t="s">
        <v>80</v>
      </c>
      <c r="D31" s="331">
        <v>426.5</v>
      </c>
      <c r="E31" s="327">
        <f t="shared" si="5"/>
        <v>73.5</v>
      </c>
      <c r="F31" s="326">
        <f t="shared" si="6"/>
        <v>85.3</v>
      </c>
      <c r="G31" s="326">
        <f>SUM(H31:K31)</f>
        <v>426.5</v>
      </c>
      <c r="H31" s="332">
        <v>426.5</v>
      </c>
      <c r="I31" s="332"/>
      <c r="J31" s="332"/>
      <c r="K31" s="338"/>
    </row>
    <row r="32" ht="14.15" customHeight="1" spans="1:11">
      <c r="A32" s="316" t="s">
        <v>27</v>
      </c>
      <c r="B32" s="334">
        <f>B27+B5</f>
        <v>14735.36</v>
      </c>
      <c r="C32" s="334"/>
      <c r="D32" s="334">
        <f t="shared" ref="D32:K32" si="10">D27+D5</f>
        <v>6951.3871</v>
      </c>
      <c r="E32" s="334">
        <f t="shared" si="10"/>
        <v>7783.9729</v>
      </c>
      <c r="F32" s="335">
        <f t="shared" si="6"/>
        <v>47.1748711941887</v>
      </c>
      <c r="G32" s="334">
        <f>G6+G20+G23+G24+G25+G26+G27</f>
        <v>6951.3871</v>
      </c>
      <c r="H32" s="334">
        <f t="shared" si="10"/>
        <v>3399.955</v>
      </c>
      <c r="I32" s="334">
        <f t="shared" si="10"/>
        <v>1986</v>
      </c>
      <c r="J32" s="334">
        <f t="shared" si="10"/>
        <v>413.4721</v>
      </c>
      <c r="K32" s="339">
        <f t="shared" si="10"/>
        <v>1151.96</v>
      </c>
    </row>
    <row r="33" ht="11.15" customHeight="1" spans="1:1">
      <c r="A33" s="288" t="s">
        <v>109</v>
      </c>
    </row>
    <row r="34" ht="9" customHeight="1" spans="1:1">
      <c r="A34" s="289" t="s">
        <v>110</v>
      </c>
    </row>
  </sheetData>
  <mergeCells count="9">
    <mergeCell ref="A1:K1"/>
    <mergeCell ref="A2:H2"/>
    <mergeCell ref="G3:K3"/>
    <mergeCell ref="A3:A4"/>
    <mergeCell ref="B3:B4"/>
    <mergeCell ref="C3:C4"/>
    <mergeCell ref="D3:D4"/>
    <mergeCell ref="E3:E4"/>
    <mergeCell ref="F3:F4"/>
  </mergeCells>
  <pageMargins left="0.984027777777778" right="0.393055555555556" top="0.511805555555556" bottom="0.511805555555556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workbookViewId="0">
      <selection activeCell="N14" sqref="N14"/>
    </sheetView>
  </sheetViews>
  <sheetFormatPr defaultColWidth="9" defaultRowHeight="14.25"/>
  <cols>
    <col min="1" max="1" width="17.0833333333333" customWidth="1"/>
    <col min="2" max="2" width="10" customWidth="1"/>
    <col min="3" max="3" width="15.3333333333333" customWidth="1"/>
    <col min="4" max="4" width="10.5833333333333" customWidth="1"/>
    <col min="5" max="5" width="10" customWidth="1"/>
    <col min="6" max="6" width="8.5" customWidth="1"/>
    <col min="7" max="7" width="10.0833333333333" customWidth="1"/>
    <col min="8" max="8" width="10.5833333333333" customWidth="1"/>
    <col min="9" max="9" width="8.75" customWidth="1"/>
    <col min="10" max="10" width="9.33333333333333" customWidth="1"/>
    <col min="11" max="11" width="8.08333333333333" customWidth="1"/>
  </cols>
  <sheetData>
    <row r="1" ht="21" spans="1:11">
      <c r="A1" s="268" t="s">
        <v>89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11.15" customHeight="1" spans="1:11">
      <c r="A2" s="324" t="s">
        <v>111</v>
      </c>
      <c r="B2" s="325"/>
      <c r="C2" s="325"/>
      <c r="D2" s="325"/>
      <c r="E2" s="325"/>
      <c r="F2" s="325"/>
      <c r="G2" s="325"/>
      <c r="H2" s="325"/>
      <c r="I2" s="291"/>
      <c r="J2" s="16"/>
      <c r="K2" s="16" t="s">
        <v>3</v>
      </c>
    </row>
    <row r="3" spans="1:11">
      <c r="A3" s="302" t="s">
        <v>29</v>
      </c>
      <c r="B3" s="303" t="s">
        <v>91</v>
      </c>
      <c r="C3" s="303" t="s">
        <v>62</v>
      </c>
      <c r="D3" s="304" t="s">
        <v>63</v>
      </c>
      <c r="E3" s="303" t="s">
        <v>57</v>
      </c>
      <c r="F3" s="304" t="s">
        <v>7</v>
      </c>
      <c r="G3" s="305" t="s">
        <v>65</v>
      </c>
      <c r="H3" s="305"/>
      <c r="I3" s="305"/>
      <c r="J3" s="305"/>
      <c r="K3" s="318"/>
    </row>
    <row r="4" spans="1:11">
      <c r="A4" s="306"/>
      <c r="B4" s="296"/>
      <c r="C4" s="296"/>
      <c r="D4" s="297"/>
      <c r="E4" s="296"/>
      <c r="F4" s="297"/>
      <c r="G4" s="296" t="s">
        <v>66</v>
      </c>
      <c r="H4" s="296" t="s">
        <v>67</v>
      </c>
      <c r="I4" s="296" t="s">
        <v>92</v>
      </c>
      <c r="J4" s="297" t="s">
        <v>69</v>
      </c>
      <c r="K4" s="319" t="s">
        <v>70</v>
      </c>
    </row>
    <row r="5" ht="14.15" customHeight="1" spans="1:11">
      <c r="A5" s="307" t="s">
        <v>93</v>
      </c>
      <c r="B5" s="296">
        <f>SUM(B6,B20,B23,B24,B25,B26)</f>
        <v>13793.36</v>
      </c>
      <c r="C5" s="296"/>
      <c r="D5" s="296">
        <f t="shared" ref="D5:K5" si="0">SUM(D6,D20,D23,D24,D25,D26)</f>
        <v>6090.3671</v>
      </c>
      <c r="E5" s="296">
        <f t="shared" si="0"/>
        <v>7702.9929</v>
      </c>
      <c r="F5" s="326">
        <f t="shared" ref="F5:F32" si="1">D5/B5*100</f>
        <v>44.1543402042722</v>
      </c>
      <c r="G5" s="296">
        <f t="shared" si="0"/>
        <v>6090.3671</v>
      </c>
      <c r="H5" s="296">
        <f t="shared" si="0"/>
        <v>2638.935</v>
      </c>
      <c r="I5" s="296">
        <f t="shared" si="0"/>
        <v>1986</v>
      </c>
      <c r="J5" s="296">
        <f t="shared" si="0"/>
        <v>313.4721</v>
      </c>
      <c r="K5" s="319">
        <f t="shared" si="0"/>
        <v>1151.96</v>
      </c>
    </row>
    <row r="6" ht="14.15" customHeight="1" spans="1:11">
      <c r="A6" s="309" t="s">
        <v>94</v>
      </c>
      <c r="B6" s="296">
        <f t="shared" ref="B6:K6" si="2">SUM(B7:B19)</f>
        <v>9825.75</v>
      </c>
      <c r="C6" s="296"/>
      <c r="D6" s="296">
        <f t="shared" si="2"/>
        <v>5428.9971</v>
      </c>
      <c r="E6" s="296">
        <f t="shared" si="2"/>
        <v>4396.7529</v>
      </c>
      <c r="F6" s="326">
        <f t="shared" si="1"/>
        <v>55.2527501717426</v>
      </c>
      <c r="G6" s="296">
        <f t="shared" si="2"/>
        <v>5428.9971</v>
      </c>
      <c r="H6" s="296">
        <f t="shared" si="2"/>
        <v>2573.935</v>
      </c>
      <c r="I6" s="296">
        <f t="shared" si="2"/>
        <v>1986</v>
      </c>
      <c r="J6" s="296">
        <f t="shared" si="2"/>
        <v>313.4721</v>
      </c>
      <c r="K6" s="319">
        <f t="shared" si="2"/>
        <v>555.59</v>
      </c>
    </row>
    <row r="7" ht="14.15" customHeight="1" spans="1:11">
      <c r="A7" s="310" t="s">
        <v>33</v>
      </c>
      <c r="B7" s="327">
        <f>1454.26+664</f>
        <v>2118.26</v>
      </c>
      <c r="C7" s="328" t="s">
        <v>71</v>
      </c>
      <c r="D7" s="327">
        <f>2141.055+6.3-65</f>
        <v>2082.355</v>
      </c>
      <c r="E7" s="327">
        <f t="shared" ref="E7:E31" si="3">B7-D7</f>
        <v>35.9050000000002</v>
      </c>
      <c r="F7" s="326">
        <f t="shared" si="1"/>
        <v>98.3049767261809</v>
      </c>
      <c r="G7" s="326">
        <f t="shared" ref="G7:G19" si="4">SUM(H7:K7)</f>
        <v>2082.355</v>
      </c>
      <c r="H7" s="327">
        <v>2082.355</v>
      </c>
      <c r="I7" s="326"/>
      <c r="K7" s="336"/>
    </row>
    <row r="8" ht="14.15" customHeight="1" spans="1:11">
      <c r="A8" s="310" t="s">
        <v>34</v>
      </c>
      <c r="B8" s="327">
        <v>5</v>
      </c>
      <c r="C8" s="328" t="s">
        <v>73</v>
      </c>
      <c r="D8" s="327">
        <v>4.4721</v>
      </c>
      <c r="E8" s="327">
        <f t="shared" si="3"/>
        <v>0.5279</v>
      </c>
      <c r="F8" s="326">
        <f t="shared" si="1"/>
        <v>89.442</v>
      </c>
      <c r="G8" s="326">
        <f t="shared" si="4"/>
        <v>4.4721</v>
      </c>
      <c r="H8" s="326"/>
      <c r="I8" s="326"/>
      <c r="J8" s="327">
        <v>4.4721</v>
      </c>
      <c r="K8" s="336"/>
    </row>
    <row r="9" ht="14.15" customHeight="1" spans="1:11">
      <c r="A9" s="310" t="s">
        <v>35</v>
      </c>
      <c r="B9" s="327">
        <f>3215.2-230</f>
        <v>2985.2</v>
      </c>
      <c r="C9" s="328" t="s">
        <v>68</v>
      </c>
      <c r="D9" s="327">
        <v>1986</v>
      </c>
      <c r="E9" s="327">
        <f t="shared" si="3"/>
        <v>999.2</v>
      </c>
      <c r="F9" s="326">
        <f t="shared" si="1"/>
        <v>66.5282058153558</v>
      </c>
      <c r="G9" s="326">
        <f t="shared" si="4"/>
        <v>1986</v>
      </c>
      <c r="H9" s="326"/>
      <c r="I9" s="327">
        <v>1986</v>
      </c>
      <c r="J9" s="326"/>
      <c r="K9" s="336"/>
    </row>
    <row r="10" ht="31" customHeight="1" spans="1:11">
      <c r="A10" s="310" t="s">
        <v>36</v>
      </c>
      <c r="B10" s="327">
        <v>481</v>
      </c>
      <c r="C10" s="329" t="s">
        <v>75</v>
      </c>
      <c r="D10" s="327">
        <v>311.85</v>
      </c>
      <c r="E10" s="327">
        <f t="shared" si="3"/>
        <v>169.15</v>
      </c>
      <c r="F10" s="326">
        <f t="shared" si="1"/>
        <v>64.8336798336798</v>
      </c>
      <c r="G10" s="326">
        <f t="shared" si="4"/>
        <v>311.85</v>
      </c>
      <c r="I10" s="326"/>
      <c r="J10" s="326">
        <v>279</v>
      </c>
      <c r="K10" s="336">
        <f>18.85+14</f>
        <v>32.85</v>
      </c>
    </row>
    <row r="11" ht="14.15" customHeight="1" spans="1:11">
      <c r="A11" s="310" t="s">
        <v>37</v>
      </c>
      <c r="B11" s="327">
        <v>574.9</v>
      </c>
      <c r="C11" s="328" t="s">
        <v>76</v>
      </c>
      <c r="D11" s="327">
        <v>30</v>
      </c>
      <c r="E11" s="327">
        <f t="shared" si="3"/>
        <v>544.9</v>
      </c>
      <c r="F11" s="326">
        <f t="shared" si="1"/>
        <v>5.21829883457993</v>
      </c>
      <c r="G11" s="326">
        <f t="shared" si="4"/>
        <v>30</v>
      </c>
      <c r="H11" s="326"/>
      <c r="I11" s="326"/>
      <c r="J11" s="326">
        <v>30</v>
      </c>
      <c r="K11" s="336"/>
    </row>
    <row r="12" ht="33" customHeight="1" spans="1:11">
      <c r="A12" s="310" t="s">
        <v>38</v>
      </c>
      <c r="B12" s="327">
        <f>1132.83-30</f>
        <v>1102.83</v>
      </c>
      <c r="C12" s="329" t="s">
        <v>95</v>
      </c>
      <c r="D12" s="327">
        <f>273.53+6.78</f>
        <v>280.31</v>
      </c>
      <c r="E12" s="327">
        <f t="shared" si="3"/>
        <v>822.52</v>
      </c>
      <c r="F12" s="326">
        <f t="shared" si="1"/>
        <v>25.4173354007417</v>
      </c>
      <c r="G12" s="326">
        <f t="shared" si="4"/>
        <v>280.31</v>
      </c>
      <c r="H12" s="327">
        <f>273.53+6.78</f>
        <v>280.31</v>
      </c>
      <c r="I12" s="326"/>
      <c r="J12" s="326"/>
      <c r="K12" s="336"/>
    </row>
    <row r="13" ht="14.15" customHeight="1" spans="1:11">
      <c r="A13" s="310" t="s">
        <v>39</v>
      </c>
      <c r="B13" s="327">
        <v>78.87</v>
      </c>
      <c r="C13" s="328" t="s">
        <v>78</v>
      </c>
      <c r="D13" s="327">
        <v>74.005</v>
      </c>
      <c r="E13" s="327">
        <f t="shared" si="3"/>
        <v>4.86500000000001</v>
      </c>
      <c r="F13" s="326">
        <f t="shared" si="1"/>
        <v>93.8316216558894</v>
      </c>
      <c r="G13" s="326">
        <f t="shared" si="4"/>
        <v>74.005</v>
      </c>
      <c r="H13" s="326">
        <v>74.005</v>
      </c>
      <c r="I13" s="326"/>
      <c r="J13" s="326"/>
      <c r="K13" s="336"/>
    </row>
    <row r="14" ht="14.15" customHeight="1" spans="1:11">
      <c r="A14" s="310" t="s">
        <v>41</v>
      </c>
      <c r="B14" s="327">
        <v>1738.17</v>
      </c>
      <c r="C14" s="328" t="s">
        <v>80</v>
      </c>
      <c r="D14" s="327">
        <v>115.155</v>
      </c>
      <c r="E14" s="327">
        <f t="shared" si="3"/>
        <v>1623.015</v>
      </c>
      <c r="F14" s="326">
        <f t="shared" si="1"/>
        <v>6.62507119556775</v>
      </c>
      <c r="G14" s="326">
        <f t="shared" si="4"/>
        <v>115.155</v>
      </c>
      <c r="H14" s="326">
        <v>115.155</v>
      </c>
      <c r="I14" s="326"/>
      <c r="J14" s="326"/>
      <c r="K14" s="336"/>
    </row>
    <row r="15" ht="14.15" customHeight="1" spans="1:11">
      <c r="A15" s="310" t="s">
        <v>42</v>
      </c>
      <c r="B15" s="327">
        <v>88.19</v>
      </c>
      <c r="C15" s="330" t="s">
        <v>81</v>
      </c>
      <c r="D15" s="327">
        <v>22.11</v>
      </c>
      <c r="E15" s="327">
        <f t="shared" si="3"/>
        <v>66.08</v>
      </c>
      <c r="F15" s="326">
        <f t="shared" si="1"/>
        <v>25.0708697131194</v>
      </c>
      <c r="G15" s="326">
        <f t="shared" si="4"/>
        <v>22.11</v>
      </c>
      <c r="H15" s="326">
        <v>22.11</v>
      </c>
      <c r="I15" s="326"/>
      <c r="J15" s="326"/>
      <c r="K15" s="336"/>
    </row>
    <row r="16" ht="14.15" customHeight="1" spans="1:11">
      <c r="A16" s="310" t="s">
        <v>45</v>
      </c>
      <c r="B16" s="327">
        <v>7.58</v>
      </c>
      <c r="C16" s="330" t="s">
        <v>81</v>
      </c>
      <c r="D16" s="327"/>
      <c r="E16" s="327">
        <f t="shared" si="3"/>
        <v>7.58</v>
      </c>
      <c r="F16" s="326">
        <f t="shared" si="1"/>
        <v>0</v>
      </c>
      <c r="G16" s="326">
        <f t="shared" si="4"/>
        <v>0</v>
      </c>
      <c r="H16" s="326"/>
      <c r="I16" s="326"/>
      <c r="J16" s="326"/>
      <c r="K16" s="336"/>
    </row>
    <row r="17" ht="14.15" customHeight="1" spans="1:11">
      <c r="A17" s="310" t="s">
        <v>112</v>
      </c>
      <c r="B17" s="327">
        <v>16</v>
      </c>
      <c r="C17" s="330" t="s">
        <v>107</v>
      </c>
      <c r="D17" s="327"/>
      <c r="E17" s="327">
        <f t="shared" si="3"/>
        <v>16</v>
      </c>
      <c r="F17" s="326">
        <f t="shared" si="1"/>
        <v>0</v>
      </c>
      <c r="G17" s="326">
        <f t="shared" si="4"/>
        <v>0</v>
      </c>
      <c r="H17" s="326"/>
      <c r="I17" s="326"/>
      <c r="J17" s="326"/>
      <c r="K17" s="336"/>
    </row>
    <row r="18" ht="14.15" customHeight="1" spans="1:11">
      <c r="A18" s="310" t="s">
        <v>113</v>
      </c>
      <c r="B18" s="327">
        <v>31.8</v>
      </c>
      <c r="C18" s="330" t="s">
        <v>108</v>
      </c>
      <c r="D18" s="327"/>
      <c r="E18" s="327">
        <f t="shared" si="3"/>
        <v>31.8</v>
      </c>
      <c r="F18" s="326">
        <f t="shared" si="1"/>
        <v>0</v>
      </c>
      <c r="G18" s="326">
        <f t="shared" si="4"/>
        <v>0</v>
      </c>
      <c r="H18" s="326"/>
      <c r="I18" s="326"/>
      <c r="J18" s="326"/>
      <c r="K18" s="336"/>
    </row>
    <row r="19" ht="14.15" customHeight="1" spans="1:11">
      <c r="A19" s="310" t="s">
        <v>96</v>
      </c>
      <c r="B19" s="327">
        <v>597.95</v>
      </c>
      <c r="C19" s="330"/>
      <c r="D19" s="327">
        <f>7+515.74</f>
        <v>522.74</v>
      </c>
      <c r="E19" s="327">
        <f t="shared" si="3"/>
        <v>75.21</v>
      </c>
      <c r="F19" s="326">
        <f t="shared" si="1"/>
        <v>87.4220252529476</v>
      </c>
      <c r="G19" s="326">
        <f t="shared" si="4"/>
        <v>522.74</v>
      </c>
      <c r="H19" s="326"/>
      <c r="I19" s="326"/>
      <c r="J19" s="326"/>
      <c r="K19" s="336">
        <f>7+515.74</f>
        <v>522.74</v>
      </c>
    </row>
    <row r="20" ht="14.15" customHeight="1" spans="1:11">
      <c r="A20" s="310" t="s">
        <v>97</v>
      </c>
      <c r="B20" s="327">
        <f t="shared" ref="B20:K20" si="5">SUM(B21:B22)</f>
        <v>80.61</v>
      </c>
      <c r="C20" s="328"/>
      <c r="D20" s="327">
        <f t="shared" si="5"/>
        <v>80.61</v>
      </c>
      <c r="E20" s="327">
        <f t="shared" si="3"/>
        <v>0</v>
      </c>
      <c r="F20" s="326">
        <f t="shared" si="1"/>
        <v>100</v>
      </c>
      <c r="G20" s="326">
        <f t="shared" si="5"/>
        <v>80.61</v>
      </c>
      <c r="H20" s="326">
        <f t="shared" si="5"/>
        <v>65</v>
      </c>
      <c r="I20" s="326">
        <f t="shared" si="5"/>
        <v>0</v>
      </c>
      <c r="J20" s="326">
        <f t="shared" si="5"/>
        <v>0</v>
      </c>
      <c r="K20" s="337">
        <f t="shared" si="5"/>
        <v>15.61</v>
      </c>
    </row>
    <row r="21" ht="14.15" customHeight="1" spans="1:11">
      <c r="A21" s="310" t="s">
        <v>33</v>
      </c>
      <c r="B21" s="327">
        <v>65</v>
      </c>
      <c r="C21" s="328" t="s">
        <v>71</v>
      </c>
      <c r="D21" s="327">
        <v>65</v>
      </c>
      <c r="E21" s="327">
        <f t="shared" si="3"/>
        <v>0</v>
      </c>
      <c r="F21" s="326">
        <f t="shared" si="1"/>
        <v>100</v>
      </c>
      <c r="G21" s="326">
        <f t="shared" ref="G21:G26" si="6">SUM(H21:K21)</f>
        <v>65</v>
      </c>
      <c r="H21" s="326">
        <v>65</v>
      </c>
      <c r="I21" s="326"/>
      <c r="J21" s="326"/>
      <c r="K21" s="336"/>
    </row>
    <row r="22" ht="14.15" customHeight="1" spans="1:11">
      <c r="A22" s="310" t="s">
        <v>96</v>
      </c>
      <c r="B22" s="327">
        <v>15.61</v>
      </c>
      <c r="C22" s="328"/>
      <c r="D22" s="327">
        <v>15.61</v>
      </c>
      <c r="E22" s="327">
        <f t="shared" si="3"/>
        <v>0</v>
      </c>
      <c r="F22" s="326">
        <f t="shared" si="1"/>
        <v>100</v>
      </c>
      <c r="G22" s="326">
        <f t="shared" si="6"/>
        <v>15.61</v>
      </c>
      <c r="H22" s="326"/>
      <c r="I22" s="326"/>
      <c r="J22" s="326"/>
      <c r="K22" s="336">
        <v>15.61</v>
      </c>
    </row>
    <row r="23" ht="14.15" customHeight="1" spans="1:11">
      <c r="A23" s="310" t="s">
        <v>98</v>
      </c>
      <c r="B23" s="327">
        <v>20</v>
      </c>
      <c r="C23" s="328"/>
      <c r="D23" s="327">
        <v>10</v>
      </c>
      <c r="E23" s="327">
        <f t="shared" si="3"/>
        <v>10</v>
      </c>
      <c r="F23" s="326">
        <f t="shared" si="1"/>
        <v>50</v>
      </c>
      <c r="G23" s="326">
        <f t="shared" si="6"/>
        <v>10</v>
      </c>
      <c r="H23" s="326"/>
      <c r="I23" s="326"/>
      <c r="J23" s="326"/>
      <c r="K23" s="336">
        <v>10</v>
      </c>
    </row>
    <row r="24" ht="14.15" customHeight="1" spans="1:11">
      <c r="A24" s="310" t="s">
        <v>99</v>
      </c>
      <c r="B24" s="327">
        <v>40</v>
      </c>
      <c r="C24" s="328"/>
      <c r="D24" s="327"/>
      <c r="E24" s="327">
        <f t="shared" si="3"/>
        <v>40</v>
      </c>
      <c r="F24" s="326">
        <f t="shared" si="1"/>
        <v>0</v>
      </c>
      <c r="G24" s="326">
        <f t="shared" si="6"/>
        <v>0</v>
      </c>
      <c r="H24" s="326"/>
      <c r="I24" s="326"/>
      <c r="J24" s="326"/>
      <c r="K24" s="336"/>
    </row>
    <row r="25" ht="14.15" customHeight="1" spans="1:11">
      <c r="A25" s="310" t="s">
        <v>100</v>
      </c>
      <c r="B25" s="327">
        <v>1127</v>
      </c>
      <c r="C25" s="327"/>
      <c r="D25" s="327"/>
      <c r="E25" s="327">
        <f t="shared" si="3"/>
        <v>1127</v>
      </c>
      <c r="F25" s="326">
        <f t="shared" si="1"/>
        <v>0</v>
      </c>
      <c r="G25" s="326">
        <f t="shared" si="6"/>
        <v>0</v>
      </c>
      <c r="H25" s="326"/>
      <c r="I25" s="326"/>
      <c r="J25" s="326"/>
      <c r="K25" s="336"/>
    </row>
    <row r="26" ht="14.15" customHeight="1" spans="1:11">
      <c r="A26" s="310" t="s">
        <v>101</v>
      </c>
      <c r="B26" s="327">
        <v>2700</v>
      </c>
      <c r="C26" s="327"/>
      <c r="D26" s="327">
        <v>570.76</v>
      </c>
      <c r="E26" s="327">
        <f t="shared" si="3"/>
        <v>2129.24</v>
      </c>
      <c r="F26" s="326">
        <f t="shared" si="1"/>
        <v>21.1392592592593</v>
      </c>
      <c r="G26" s="326">
        <f t="shared" si="6"/>
        <v>570.76</v>
      </c>
      <c r="H26" s="326"/>
      <c r="I26" s="326"/>
      <c r="J26" s="326"/>
      <c r="K26" s="336">
        <v>570.76</v>
      </c>
    </row>
    <row r="27" ht="14.15" customHeight="1" spans="1:11">
      <c r="A27" s="312" t="s">
        <v>102</v>
      </c>
      <c r="B27" s="331">
        <f t="shared" ref="B27:K27" si="7">SUM(B28:B31)</f>
        <v>942</v>
      </c>
      <c r="C27" s="331">
        <f t="shared" si="7"/>
        <v>0</v>
      </c>
      <c r="D27" s="331">
        <f t="shared" si="7"/>
        <v>867.8</v>
      </c>
      <c r="E27" s="327">
        <f t="shared" si="3"/>
        <v>74.2</v>
      </c>
      <c r="F27" s="326">
        <f t="shared" si="1"/>
        <v>92.1231422505308</v>
      </c>
      <c r="G27" s="326">
        <f t="shared" si="7"/>
        <v>867.8</v>
      </c>
      <c r="H27" s="326">
        <f t="shared" si="7"/>
        <v>767.8</v>
      </c>
      <c r="I27" s="326">
        <f t="shared" si="7"/>
        <v>0</v>
      </c>
      <c r="J27" s="326">
        <f t="shared" si="7"/>
        <v>100</v>
      </c>
      <c r="K27" s="337">
        <f t="shared" si="7"/>
        <v>0</v>
      </c>
    </row>
    <row r="28" ht="14.15" customHeight="1" spans="1:11">
      <c r="A28" s="314" t="s">
        <v>33</v>
      </c>
      <c r="B28" s="331">
        <v>176</v>
      </c>
      <c r="C28" s="328" t="s">
        <v>71</v>
      </c>
      <c r="D28" s="331">
        <v>176</v>
      </c>
      <c r="E28" s="327">
        <f t="shared" si="3"/>
        <v>0</v>
      </c>
      <c r="F28" s="326">
        <f t="shared" si="1"/>
        <v>100</v>
      </c>
      <c r="G28" s="326">
        <f>SUM(H28:K28)</f>
        <v>176</v>
      </c>
      <c r="H28" s="332">
        <v>176</v>
      </c>
      <c r="I28" s="332"/>
      <c r="J28" s="332"/>
      <c r="K28" s="338"/>
    </row>
    <row r="29" ht="14.15" customHeight="1" spans="1:11">
      <c r="A29" s="314" t="s">
        <v>38</v>
      </c>
      <c r="B29" s="331">
        <v>166</v>
      </c>
      <c r="C29" s="333" t="s">
        <v>103</v>
      </c>
      <c r="D29" s="331">
        <v>165.3</v>
      </c>
      <c r="E29" s="327">
        <f t="shared" si="3"/>
        <v>0.699999999999989</v>
      </c>
      <c r="F29" s="326">
        <f t="shared" si="1"/>
        <v>99.5783132530121</v>
      </c>
      <c r="G29" s="326">
        <f>SUM(H29:K29)</f>
        <v>165.3</v>
      </c>
      <c r="H29" s="332">
        <v>165.3</v>
      </c>
      <c r="I29" s="332"/>
      <c r="J29" s="332"/>
      <c r="K29" s="338"/>
    </row>
    <row r="30" ht="14.15" customHeight="1" spans="1:11">
      <c r="A30" s="314" t="s">
        <v>37</v>
      </c>
      <c r="B30" s="331">
        <v>100</v>
      </c>
      <c r="C30" s="328" t="s">
        <v>76</v>
      </c>
      <c r="D30" s="331">
        <v>100</v>
      </c>
      <c r="E30" s="327">
        <f t="shared" si="3"/>
        <v>0</v>
      </c>
      <c r="F30" s="326">
        <f t="shared" si="1"/>
        <v>100</v>
      </c>
      <c r="G30" s="326">
        <f>SUM(H30:K30)</f>
        <v>100</v>
      </c>
      <c r="H30" s="332"/>
      <c r="I30" s="332"/>
      <c r="J30" s="332">
        <v>100</v>
      </c>
      <c r="K30" s="338"/>
    </row>
    <row r="31" ht="14.15" customHeight="1" spans="1:11">
      <c r="A31" s="314" t="s">
        <v>41</v>
      </c>
      <c r="B31" s="331">
        <v>500</v>
      </c>
      <c r="C31" s="328" t="s">
        <v>80</v>
      </c>
      <c r="D31" s="331">
        <v>426.5</v>
      </c>
      <c r="E31" s="327">
        <f t="shared" si="3"/>
        <v>73.5</v>
      </c>
      <c r="F31" s="326">
        <f t="shared" si="1"/>
        <v>85.3</v>
      </c>
      <c r="G31" s="326">
        <f>SUM(H31:K31)</f>
        <v>426.5</v>
      </c>
      <c r="H31" s="332">
        <v>426.5</v>
      </c>
      <c r="I31" s="332"/>
      <c r="J31" s="332"/>
      <c r="K31" s="338"/>
    </row>
    <row r="32" ht="14.15" customHeight="1" spans="1:11">
      <c r="A32" s="316" t="s">
        <v>27</v>
      </c>
      <c r="B32" s="334">
        <f>B27+B5</f>
        <v>14735.36</v>
      </c>
      <c r="C32" s="334"/>
      <c r="D32" s="334">
        <f t="shared" ref="D32:K32" si="8">D27+D5</f>
        <v>6958.1671</v>
      </c>
      <c r="E32" s="334">
        <f t="shared" si="8"/>
        <v>7777.1929</v>
      </c>
      <c r="F32" s="335">
        <f t="shared" si="1"/>
        <v>47.2208829645153</v>
      </c>
      <c r="G32" s="334">
        <f>G6+G20+G23+G24+G25+G26+G27</f>
        <v>6958.1671</v>
      </c>
      <c r="H32" s="334">
        <f t="shared" si="8"/>
        <v>3406.735</v>
      </c>
      <c r="I32" s="334">
        <f t="shared" si="8"/>
        <v>1986</v>
      </c>
      <c r="J32" s="334">
        <f t="shared" si="8"/>
        <v>413.4721</v>
      </c>
      <c r="K32" s="339">
        <f t="shared" si="8"/>
        <v>1151.96</v>
      </c>
    </row>
    <row r="33" spans="1:1">
      <c r="A33" s="288" t="s">
        <v>114</v>
      </c>
    </row>
    <row r="34" spans="1:1">
      <c r="A34" s="289" t="s">
        <v>115</v>
      </c>
    </row>
  </sheetData>
  <mergeCells count="9">
    <mergeCell ref="A1:K1"/>
    <mergeCell ref="A2:H2"/>
    <mergeCell ref="G3:K3"/>
    <mergeCell ref="A3:A4"/>
    <mergeCell ref="B3:B4"/>
    <mergeCell ref="C3:C4"/>
    <mergeCell ref="D3:D4"/>
    <mergeCell ref="E3:E4"/>
    <mergeCell ref="F3:F4"/>
  </mergeCells>
  <pageMargins left="0.888888888888889" right="0.829861111111111" top="0.5" bottom="0.41875" header="0.313888888888889" footer="0.313888888888889"/>
  <pageSetup paperSize="9" fitToHeight="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workbookViewId="0">
      <selection activeCell="N14" sqref="N14"/>
    </sheetView>
  </sheetViews>
  <sheetFormatPr defaultColWidth="9" defaultRowHeight="14.25"/>
  <cols>
    <col min="1" max="1" width="17.0833333333333" customWidth="1"/>
    <col min="2" max="2" width="10" customWidth="1"/>
    <col min="3" max="3" width="15.3333333333333" customWidth="1"/>
    <col min="4" max="4" width="10.5833333333333" customWidth="1"/>
    <col min="5" max="5" width="10" customWidth="1"/>
    <col min="6" max="6" width="8.5" customWidth="1"/>
    <col min="7" max="7" width="10.0833333333333" customWidth="1"/>
    <col min="8" max="8" width="10.5833333333333" customWidth="1"/>
    <col min="9" max="9" width="8.75" customWidth="1"/>
    <col min="10" max="10" width="9.33333333333333" customWidth="1"/>
    <col min="11" max="11" width="8.08333333333333" customWidth="1"/>
  </cols>
  <sheetData>
    <row r="1" ht="21" spans="1:11">
      <c r="A1" s="268" t="s">
        <v>89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11.15" customHeight="1" spans="1:11">
      <c r="A2" s="324" t="s">
        <v>116</v>
      </c>
      <c r="B2" s="325"/>
      <c r="C2" s="325"/>
      <c r="D2" s="325"/>
      <c r="E2" s="325"/>
      <c r="F2" s="325"/>
      <c r="G2" s="325"/>
      <c r="H2" s="325"/>
      <c r="I2" s="291"/>
      <c r="J2" s="16"/>
      <c r="K2" s="16" t="s">
        <v>3</v>
      </c>
    </row>
    <row r="3" spans="1:11">
      <c r="A3" s="302" t="s">
        <v>29</v>
      </c>
      <c r="B3" s="303" t="s">
        <v>91</v>
      </c>
      <c r="C3" s="303" t="s">
        <v>62</v>
      </c>
      <c r="D3" s="304" t="s">
        <v>63</v>
      </c>
      <c r="E3" s="303" t="s">
        <v>57</v>
      </c>
      <c r="F3" s="304" t="s">
        <v>7</v>
      </c>
      <c r="G3" s="305" t="s">
        <v>65</v>
      </c>
      <c r="H3" s="305"/>
      <c r="I3" s="305"/>
      <c r="J3" s="305"/>
      <c r="K3" s="318"/>
    </row>
    <row r="4" spans="1:11">
      <c r="A4" s="306"/>
      <c r="B4" s="296"/>
      <c r="C4" s="296"/>
      <c r="D4" s="297"/>
      <c r="E4" s="296"/>
      <c r="F4" s="297"/>
      <c r="G4" s="296" t="s">
        <v>66</v>
      </c>
      <c r="H4" s="296" t="s">
        <v>67</v>
      </c>
      <c r="I4" s="296" t="s">
        <v>92</v>
      </c>
      <c r="J4" s="297" t="s">
        <v>69</v>
      </c>
      <c r="K4" s="319" t="s">
        <v>70</v>
      </c>
    </row>
    <row r="5" ht="14.15" customHeight="1" spans="1:11">
      <c r="A5" s="307" t="s">
        <v>93</v>
      </c>
      <c r="B5" s="296">
        <f>SUM(B6,B20,B23,B24,B25,B26)</f>
        <v>13793.36</v>
      </c>
      <c r="C5" s="296"/>
      <c r="D5" s="296">
        <f t="shared" ref="D5:K5" si="0">SUM(D6,D20,D23,D24,D25,D26)</f>
        <v>6093.0371</v>
      </c>
      <c r="E5" s="296">
        <f t="shared" si="0"/>
        <v>7700.3229</v>
      </c>
      <c r="F5" s="326">
        <f t="shared" ref="F5:F32" si="1">D5/B5*100</f>
        <v>44.1736973442294</v>
      </c>
      <c r="G5" s="296">
        <f t="shared" si="0"/>
        <v>6093.04</v>
      </c>
      <c r="H5" s="296">
        <f t="shared" si="0"/>
        <v>2641.61</v>
      </c>
      <c r="I5" s="296">
        <f t="shared" si="0"/>
        <v>1986</v>
      </c>
      <c r="J5" s="296">
        <f t="shared" si="0"/>
        <v>313.47</v>
      </c>
      <c r="K5" s="319">
        <f t="shared" si="0"/>
        <v>1151.96</v>
      </c>
    </row>
    <row r="6" ht="14.15" customHeight="1" spans="1:11">
      <c r="A6" s="309" t="s">
        <v>94</v>
      </c>
      <c r="B6" s="296">
        <f t="shared" ref="B6:K6" si="2">SUM(B7:B19)</f>
        <v>9825.75</v>
      </c>
      <c r="C6" s="296"/>
      <c r="D6" s="296">
        <f t="shared" si="2"/>
        <v>5431.6671</v>
      </c>
      <c r="E6" s="296">
        <f t="shared" si="2"/>
        <v>4394.0829</v>
      </c>
      <c r="F6" s="326">
        <f t="shared" si="1"/>
        <v>55.2799236699489</v>
      </c>
      <c r="G6" s="296">
        <f t="shared" si="2"/>
        <v>5431.67</v>
      </c>
      <c r="H6" s="296">
        <f t="shared" si="2"/>
        <v>2576.61</v>
      </c>
      <c r="I6" s="296">
        <f t="shared" si="2"/>
        <v>1986</v>
      </c>
      <c r="J6" s="296">
        <f t="shared" si="2"/>
        <v>313.47</v>
      </c>
      <c r="K6" s="319">
        <f t="shared" si="2"/>
        <v>555.59</v>
      </c>
    </row>
    <row r="7" ht="14.15" customHeight="1" spans="1:11">
      <c r="A7" s="310" t="s">
        <v>33</v>
      </c>
      <c r="B7" s="327">
        <f>1454.26+664</f>
        <v>2118.26</v>
      </c>
      <c r="C7" s="328" t="s">
        <v>71</v>
      </c>
      <c r="D7" s="327">
        <f>2141.055+6.3-65</f>
        <v>2082.355</v>
      </c>
      <c r="E7" s="327">
        <f t="shared" ref="E7:E31" si="3">B7-D7</f>
        <v>35.9050000000002</v>
      </c>
      <c r="F7" s="326">
        <f t="shared" si="1"/>
        <v>98.3049767261809</v>
      </c>
      <c r="G7" s="326">
        <f t="shared" ref="G7:G19" si="4">SUM(H7:K7)</f>
        <v>2082.36</v>
      </c>
      <c r="H7" s="327">
        <v>2082.36</v>
      </c>
      <c r="I7" s="326"/>
      <c r="K7" s="336"/>
    </row>
    <row r="8" ht="14.15" customHeight="1" spans="1:11">
      <c r="A8" s="310" t="s">
        <v>34</v>
      </c>
      <c r="B8" s="327">
        <v>5</v>
      </c>
      <c r="C8" s="328" t="s">
        <v>73</v>
      </c>
      <c r="D8" s="327">
        <v>4.4721</v>
      </c>
      <c r="E8" s="327">
        <f t="shared" si="3"/>
        <v>0.5279</v>
      </c>
      <c r="F8" s="326">
        <f t="shared" si="1"/>
        <v>89.442</v>
      </c>
      <c r="G8" s="326">
        <f t="shared" si="4"/>
        <v>4.47</v>
      </c>
      <c r="H8" s="326"/>
      <c r="I8" s="326"/>
      <c r="J8" s="327">
        <v>4.47</v>
      </c>
      <c r="K8" s="336"/>
    </row>
    <row r="9" ht="14.15" customHeight="1" spans="1:11">
      <c r="A9" s="310" t="s">
        <v>35</v>
      </c>
      <c r="B9" s="327">
        <f>3215.2-230</f>
        <v>2985.2</v>
      </c>
      <c r="C9" s="328" t="s">
        <v>68</v>
      </c>
      <c r="D9" s="327">
        <v>1986</v>
      </c>
      <c r="E9" s="327">
        <f t="shared" si="3"/>
        <v>999.2</v>
      </c>
      <c r="F9" s="326">
        <f t="shared" si="1"/>
        <v>66.5282058153558</v>
      </c>
      <c r="G9" s="326">
        <f t="shared" si="4"/>
        <v>1986</v>
      </c>
      <c r="H9" s="326"/>
      <c r="I9" s="327">
        <v>1986</v>
      </c>
      <c r="J9" s="326"/>
      <c r="K9" s="336"/>
    </row>
    <row r="10" ht="31" customHeight="1" spans="1:11">
      <c r="A10" s="310" t="s">
        <v>36</v>
      </c>
      <c r="B10" s="327">
        <v>481</v>
      </c>
      <c r="C10" s="329" t="s">
        <v>75</v>
      </c>
      <c r="D10" s="327">
        <v>311.85</v>
      </c>
      <c r="E10" s="327">
        <f t="shared" si="3"/>
        <v>169.15</v>
      </c>
      <c r="F10" s="326">
        <f t="shared" si="1"/>
        <v>64.8336798336798</v>
      </c>
      <c r="G10" s="326">
        <f t="shared" si="4"/>
        <v>311.85</v>
      </c>
      <c r="I10" s="326"/>
      <c r="J10" s="326">
        <v>279</v>
      </c>
      <c r="K10" s="336">
        <f>18.85+14</f>
        <v>32.85</v>
      </c>
    </row>
    <row r="11" ht="14.15" customHeight="1" spans="1:11">
      <c r="A11" s="310" t="s">
        <v>37</v>
      </c>
      <c r="B11" s="327">
        <v>574.9</v>
      </c>
      <c r="C11" s="328" t="s">
        <v>76</v>
      </c>
      <c r="D11" s="327">
        <v>30</v>
      </c>
      <c r="E11" s="327">
        <f t="shared" si="3"/>
        <v>544.9</v>
      </c>
      <c r="F11" s="326">
        <f t="shared" si="1"/>
        <v>5.21829883457993</v>
      </c>
      <c r="G11" s="326">
        <f t="shared" si="4"/>
        <v>30</v>
      </c>
      <c r="H11" s="326"/>
      <c r="I11" s="326"/>
      <c r="J11" s="326">
        <v>30</v>
      </c>
      <c r="K11" s="336"/>
    </row>
    <row r="12" ht="33" customHeight="1" spans="1:11">
      <c r="A12" s="310" t="s">
        <v>38</v>
      </c>
      <c r="B12" s="327">
        <f>1132.83-30</f>
        <v>1102.83</v>
      </c>
      <c r="C12" s="329" t="s">
        <v>95</v>
      </c>
      <c r="D12" s="327">
        <f>273.53+6.78</f>
        <v>280.31</v>
      </c>
      <c r="E12" s="327">
        <f t="shared" si="3"/>
        <v>822.52</v>
      </c>
      <c r="F12" s="326">
        <f t="shared" si="1"/>
        <v>25.4173354007417</v>
      </c>
      <c r="G12" s="326">
        <f t="shared" si="4"/>
        <v>280.31</v>
      </c>
      <c r="H12" s="327">
        <f>273.53+6.78</f>
        <v>280.31</v>
      </c>
      <c r="I12" s="326"/>
      <c r="J12" s="326"/>
      <c r="K12" s="336"/>
    </row>
    <row r="13" ht="14.15" customHeight="1" spans="1:11">
      <c r="A13" s="310" t="s">
        <v>39</v>
      </c>
      <c r="B13" s="327">
        <v>78.87</v>
      </c>
      <c r="C13" s="328" t="s">
        <v>78</v>
      </c>
      <c r="D13" s="327">
        <v>74.005</v>
      </c>
      <c r="E13" s="327">
        <f t="shared" si="3"/>
        <v>4.86500000000001</v>
      </c>
      <c r="F13" s="326">
        <f t="shared" si="1"/>
        <v>93.8316216558894</v>
      </c>
      <c r="G13" s="326">
        <f t="shared" si="4"/>
        <v>74.005</v>
      </c>
      <c r="H13" s="326">
        <v>74.005</v>
      </c>
      <c r="I13" s="326"/>
      <c r="J13" s="326"/>
      <c r="K13" s="336"/>
    </row>
    <row r="14" ht="14.15" customHeight="1" spans="1:11">
      <c r="A14" s="310" t="s">
        <v>41</v>
      </c>
      <c r="B14" s="327">
        <v>1738.17</v>
      </c>
      <c r="C14" s="328" t="s">
        <v>80</v>
      </c>
      <c r="D14" s="327">
        <v>115.155</v>
      </c>
      <c r="E14" s="327">
        <f t="shared" si="3"/>
        <v>1623.015</v>
      </c>
      <c r="F14" s="326">
        <f t="shared" si="1"/>
        <v>6.62507119556775</v>
      </c>
      <c r="G14" s="326">
        <f t="shared" si="4"/>
        <v>115.155</v>
      </c>
      <c r="H14" s="326">
        <v>115.155</v>
      </c>
      <c r="I14" s="326"/>
      <c r="J14" s="326"/>
      <c r="K14" s="336"/>
    </row>
    <row r="15" ht="14.15" customHeight="1" spans="1:11">
      <c r="A15" s="310" t="s">
        <v>42</v>
      </c>
      <c r="B15" s="327">
        <v>88.19</v>
      </c>
      <c r="C15" s="330" t="s">
        <v>81</v>
      </c>
      <c r="D15" s="327">
        <v>23.78</v>
      </c>
      <c r="E15" s="327">
        <f t="shared" si="3"/>
        <v>64.41</v>
      </c>
      <c r="F15" s="326">
        <f t="shared" si="1"/>
        <v>26.9645084476698</v>
      </c>
      <c r="G15" s="326">
        <f t="shared" si="4"/>
        <v>23.78</v>
      </c>
      <c r="H15" s="326">
        <v>23.78</v>
      </c>
      <c r="I15" s="326"/>
      <c r="J15" s="326"/>
      <c r="K15" s="336"/>
    </row>
    <row r="16" ht="14.15" customHeight="1" spans="1:11">
      <c r="A16" s="310" t="s">
        <v>45</v>
      </c>
      <c r="B16" s="327">
        <v>7.58</v>
      </c>
      <c r="C16" s="330" t="s">
        <v>81</v>
      </c>
      <c r="D16" s="327">
        <v>1</v>
      </c>
      <c r="E16" s="327">
        <f t="shared" si="3"/>
        <v>6.58</v>
      </c>
      <c r="F16" s="326">
        <f t="shared" si="1"/>
        <v>13.1926121372032</v>
      </c>
      <c r="G16" s="326">
        <f t="shared" si="4"/>
        <v>1</v>
      </c>
      <c r="H16" s="326">
        <v>1</v>
      </c>
      <c r="I16" s="326"/>
      <c r="J16" s="326"/>
      <c r="K16" s="336"/>
    </row>
    <row r="17" ht="14.15" customHeight="1" spans="1:11">
      <c r="A17" s="310" t="s">
        <v>112</v>
      </c>
      <c r="B17" s="327">
        <v>16</v>
      </c>
      <c r="C17" s="330" t="s">
        <v>107</v>
      </c>
      <c r="D17" s="327"/>
      <c r="E17" s="327">
        <f t="shared" si="3"/>
        <v>16</v>
      </c>
      <c r="F17" s="326">
        <f t="shared" si="1"/>
        <v>0</v>
      </c>
      <c r="G17" s="326">
        <f t="shared" si="4"/>
        <v>0</v>
      </c>
      <c r="H17" s="326"/>
      <c r="I17" s="326"/>
      <c r="J17" s="326"/>
      <c r="K17" s="336"/>
    </row>
    <row r="18" ht="14.15" customHeight="1" spans="1:11">
      <c r="A18" s="310" t="s">
        <v>113</v>
      </c>
      <c r="B18" s="327">
        <v>31.8</v>
      </c>
      <c r="C18" s="330" t="s">
        <v>108</v>
      </c>
      <c r="D18" s="327"/>
      <c r="E18" s="327">
        <f t="shared" si="3"/>
        <v>31.8</v>
      </c>
      <c r="F18" s="326">
        <f t="shared" si="1"/>
        <v>0</v>
      </c>
      <c r="G18" s="326">
        <f t="shared" si="4"/>
        <v>0</v>
      </c>
      <c r="H18" s="326"/>
      <c r="I18" s="326"/>
      <c r="J18" s="326"/>
      <c r="K18" s="336"/>
    </row>
    <row r="19" ht="14.15" customHeight="1" spans="1:11">
      <c r="A19" s="310" t="s">
        <v>96</v>
      </c>
      <c r="B19" s="327">
        <v>597.95</v>
      </c>
      <c r="C19" s="330"/>
      <c r="D19" s="327">
        <f>7+515.74</f>
        <v>522.74</v>
      </c>
      <c r="E19" s="327">
        <f t="shared" si="3"/>
        <v>75.21</v>
      </c>
      <c r="F19" s="326">
        <f t="shared" si="1"/>
        <v>87.4220252529476</v>
      </c>
      <c r="G19" s="326">
        <f t="shared" si="4"/>
        <v>522.74</v>
      </c>
      <c r="H19" s="326"/>
      <c r="I19" s="326"/>
      <c r="J19" s="326"/>
      <c r="K19" s="336">
        <f>7+515.74</f>
        <v>522.74</v>
      </c>
    </row>
    <row r="20" ht="14.15" customHeight="1" spans="1:11">
      <c r="A20" s="310" t="s">
        <v>97</v>
      </c>
      <c r="B20" s="327">
        <f t="shared" ref="B20:K20" si="5">SUM(B21:B22)</f>
        <v>80.61</v>
      </c>
      <c r="C20" s="328"/>
      <c r="D20" s="327">
        <f t="shared" si="5"/>
        <v>80.61</v>
      </c>
      <c r="E20" s="327">
        <f t="shared" si="3"/>
        <v>0</v>
      </c>
      <c r="F20" s="326">
        <f t="shared" si="1"/>
        <v>100</v>
      </c>
      <c r="G20" s="326">
        <f t="shared" si="5"/>
        <v>80.61</v>
      </c>
      <c r="H20" s="326">
        <f t="shared" si="5"/>
        <v>65</v>
      </c>
      <c r="I20" s="326">
        <f t="shared" si="5"/>
        <v>0</v>
      </c>
      <c r="J20" s="326">
        <f t="shared" si="5"/>
        <v>0</v>
      </c>
      <c r="K20" s="337">
        <f t="shared" si="5"/>
        <v>15.61</v>
      </c>
    </row>
    <row r="21" ht="14.15" customHeight="1" spans="1:11">
      <c r="A21" s="310" t="s">
        <v>33</v>
      </c>
      <c r="B21" s="327">
        <v>65</v>
      </c>
      <c r="C21" s="328" t="s">
        <v>71</v>
      </c>
      <c r="D21" s="327">
        <v>65</v>
      </c>
      <c r="E21" s="327">
        <f t="shared" si="3"/>
        <v>0</v>
      </c>
      <c r="F21" s="326">
        <f t="shared" si="1"/>
        <v>100</v>
      </c>
      <c r="G21" s="326">
        <f t="shared" ref="G21:G26" si="6">SUM(H21:K21)</f>
        <v>65</v>
      </c>
      <c r="H21" s="326">
        <v>65</v>
      </c>
      <c r="I21" s="326"/>
      <c r="J21" s="326"/>
      <c r="K21" s="336"/>
    </row>
    <row r="22" ht="14.15" customHeight="1" spans="1:11">
      <c r="A22" s="310" t="s">
        <v>96</v>
      </c>
      <c r="B22" s="327">
        <v>15.61</v>
      </c>
      <c r="C22" s="328"/>
      <c r="D22" s="327">
        <v>15.61</v>
      </c>
      <c r="E22" s="327">
        <f t="shared" si="3"/>
        <v>0</v>
      </c>
      <c r="F22" s="326">
        <f t="shared" si="1"/>
        <v>100</v>
      </c>
      <c r="G22" s="326">
        <f t="shared" si="6"/>
        <v>15.61</v>
      </c>
      <c r="H22" s="326"/>
      <c r="I22" s="326"/>
      <c r="J22" s="326"/>
      <c r="K22" s="336">
        <v>15.61</v>
      </c>
    </row>
    <row r="23" ht="14.15" customHeight="1" spans="1:11">
      <c r="A23" s="310" t="s">
        <v>98</v>
      </c>
      <c r="B23" s="327">
        <v>20</v>
      </c>
      <c r="C23" s="328"/>
      <c r="D23" s="327">
        <v>10</v>
      </c>
      <c r="E23" s="327">
        <f t="shared" si="3"/>
        <v>10</v>
      </c>
      <c r="F23" s="326">
        <f t="shared" si="1"/>
        <v>50</v>
      </c>
      <c r="G23" s="326">
        <f t="shared" si="6"/>
        <v>10</v>
      </c>
      <c r="H23" s="326"/>
      <c r="I23" s="326"/>
      <c r="J23" s="326"/>
      <c r="K23" s="336">
        <v>10</v>
      </c>
    </row>
    <row r="24" ht="14.15" customHeight="1" spans="1:11">
      <c r="A24" s="310" t="s">
        <v>99</v>
      </c>
      <c r="B24" s="327">
        <v>40</v>
      </c>
      <c r="C24" s="328"/>
      <c r="D24" s="327"/>
      <c r="E24" s="327">
        <f t="shared" si="3"/>
        <v>40</v>
      </c>
      <c r="F24" s="326">
        <f t="shared" si="1"/>
        <v>0</v>
      </c>
      <c r="G24" s="326">
        <f t="shared" si="6"/>
        <v>0</v>
      </c>
      <c r="H24" s="326"/>
      <c r="I24" s="326"/>
      <c r="J24" s="326"/>
      <c r="K24" s="336"/>
    </row>
    <row r="25" ht="14.15" customHeight="1" spans="1:11">
      <c r="A25" s="310" t="s">
        <v>100</v>
      </c>
      <c r="B25" s="327">
        <v>1127</v>
      </c>
      <c r="C25" s="327"/>
      <c r="D25" s="327"/>
      <c r="E25" s="327">
        <f t="shared" si="3"/>
        <v>1127</v>
      </c>
      <c r="F25" s="326">
        <f t="shared" si="1"/>
        <v>0</v>
      </c>
      <c r="G25" s="326">
        <f t="shared" si="6"/>
        <v>0</v>
      </c>
      <c r="H25" s="326"/>
      <c r="I25" s="326"/>
      <c r="J25" s="326"/>
      <c r="K25" s="336"/>
    </row>
    <row r="26" ht="14.15" customHeight="1" spans="1:11">
      <c r="A26" s="310" t="s">
        <v>101</v>
      </c>
      <c r="B26" s="327">
        <v>2700</v>
      </c>
      <c r="C26" s="327"/>
      <c r="D26" s="327">
        <v>570.76</v>
      </c>
      <c r="E26" s="327">
        <f t="shared" si="3"/>
        <v>2129.24</v>
      </c>
      <c r="F26" s="326">
        <f t="shared" si="1"/>
        <v>21.1392592592593</v>
      </c>
      <c r="G26" s="326">
        <f t="shared" si="6"/>
        <v>570.76</v>
      </c>
      <c r="H26" s="326"/>
      <c r="I26" s="326"/>
      <c r="J26" s="326"/>
      <c r="K26" s="336">
        <v>570.76</v>
      </c>
    </row>
    <row r="27" ht="14.15" customHeight="1" spans="1:11">
      <c r="A27" s="312" t="s">
        <v>102</v>
      </c>
      <c r="B27" s="331">
        <f t="shared" ref="B27:K27" si="7">SUM(B28:B31)</f>
        <v>942</v>
      </c>
      <c r="C27" s="331">
        <f t="shared" si="7"/>
        <v>0</v>
      </c>
      <c r="D27" s="331">
        <f t="shared" si="7"/>
        <v>867.8</v>
      </c>
      <c r="E27" s="327">
        <f t="shared" si="3"/>
        <v>74.2</v>
      </c>
      <c r="F27" s="326">
        <f t="shared" si="1"/>
        <v>92.1231422505308</v>
      </c>
      <c r="G27" s="326">
        <f t="shared" si="7"/>
        <v>867.8</v>
      </c>
      <c r="H27" s="326">
        <f t="shared" si="7"/>
        <v>767.8</v>
      </c>
      <c r="I27" s="326">
        <f t="shared" si="7"/>
        <v>0</v>
      </c>
      <c r="J27" s="326">
        <f t="shared" si="7"/>
        <v>100</v>
      </c>
      <c r="K27" s="337">
        <f t="shared" si="7"/>
        <v>0</v>
      </c>
    </row>
    <row r="28" ht="14.15" customHeight="1" spans="1:11">
      <c r="A28" s="314" t="s">
        <v>33</v>
      </c>
      <c r="B28" s="331">
        <v>176</v>
      </c>
      <c r="C28" s="328" t="s">
        <v>71</v>
      </c>
      <c r="D28" s="331">
        <v>176</v>
      </c>
      <c r="E28" s="327">
        <f t="shared" si="3"/>
        <v>0</v>
      </c>
      <c r="F28" s="326">
        <f t="shared" si="1"/>
        <v>100</v>
      </c>
      <c r="G28" s="326">
        <f>SUM(H28:K28)</f>
        <v>176</v>
      </c>
      <c r="H28" s="332">
        <v>176</v>
      </c>
      <c r="I28" s="332"/>
      <c r="J28" s="332"/>
      <c r="K28" s="338"/>
    </row>
    <row r="29" ht="14.15" customHeight="1" spans="1:11">
      <c r="A29" s="314" t="s">
        <v>38</v>
      </c>
      <c r="B29" s="331">
        <v>166</v>
      </c>
      <c r="C29" s="333" t="s">
        <v>103</v>
      </c>
      <c r="D29" s="331">
        <v>165.3</v>
      </c>
      <c r="E29" s="327">
        <f t="shared" si="3"/>
        <v>0.699999999999989</v>
      </c>
      <c r="F29" s="326">
        <f t="shared" si="1"/>
        <v>99.5783132530121</v>
      </c>
      <c r="G29" s="326">
        <f>SUM(H29:K29)</f>
        <v>165.3</v>
      </c>
      <c r="H29" s="332">
        <v>165.3</v>
      </c>
      <c r="I29" s="332"/>
      <c r="J29" s="332"/>
      <c r="K29" s="338"/>
    </row>
    <row r="30" ht="14.15" customHeight="1" spans="1:11">
      <c r="A30" s="314" t="s">
        <v>37</v>
      </c>
      <c r="B30" s="331">
        <v>100</v>
      </c>
      <c r="C30" s="328" t="s">
        <v>76</v>
      </c>
      <c r="D30" s="331">
        <v>100</v>
      </c>
      <c r="E30" s="327">
        <f t="shared" si="3"/>
        <v>0</v>
      </c>
      <c r="F30" s="326">
        <f t="shared" si="1"/>
        <v>100</v>
      </c>
      <c r="G30" s="326">
        <f>SUM(H30:K30)</f>
        <v>100</v>
      </c>
      <c r="H30" s="332"/>
      <c r="I30" s="332"/>
      <c r="J30" s="332">
        <v>100</v>
      </c>
      <c r="K30" s="338"/>
    </row>
    <row r="31" ht="14.15" customHeight="1" spans="1:11">
      <c r="A31" s="314" t="s">
        <v>41</v>
      </c>
      <c r="B31" s="331">
        <v>500</v>
      </c>
      <c r="C31" s="328" t="s">
        <v>80</v>
      </c>
      <c r="D31" s="331">
        <v>426.5</v>
      </c>
      <c r="E31" s="327">
        <f t="shared" si="3"/>
        <v>73.5</v>
      </c>
      <c r="F31" s="326">
        <f t="shared" si="1"/>
        <v>85.3</v>
      </c>
      <c r="G31" s="326">
        <f>SUM(H31:K31)</f>
        <v>426.5</v>
      </c>
      <c r="H31" s="332">
        <v>426.5</v>
      </c>
      <c r="I31" s="332"/>
      <c r="J31" s="332"/>
      <c r="K31" s="338"/>
    </row>
    <row r="32" ht="14.15" customHeight="1" spans="1:11">
      <c r="A32" s="316" t="s">
        <v>27</v>
      </c>
      <c r="B32" s="334">
        <f>B27+B5</f>
        <v>14735.36</v>
      </c>
      <c r="C32" s="334"/>
      <c r="D32" s="334">
        <f t="shared" ref="D32:K32" si="8">D27+D5</f>
        <v>6960.8371</v>
      </c>
      <c r="E32" s="334">
        <f t="shared" si="8"/>
        <v>7774.5229</v>
      </c>
      <c r="F32" s="335">
        <f t="shared" si="1"/>
        <v>47.2390026439802</v>
      </c>
      <c r="G32" s="334">
        <f>G6+G20+G23+G24+G25+G26+G27</f>
        <v>6960.84</v>
      </c>
      <c r="H32" s="334">
        <f t="shared" si="8"/>
        <v>3409.41</v>
      </c>
      <c r="I32" s="334">
        <f t="shared" si="8"/>
        <v>1986</v>
      </c>
      <c r="J32" s="334">
        <f t="shared" si="8"/>
        <v>413.47</v>
      </c>
      <c r="K32" s="339">
        <f t="shared" si="8"/>
        <v>1151.96</v>
      </c>
    </row>
    <row r="33" spans="1:1">
      <c r="A33" s="288" t="s">
        <v>117</v>
      </c>
    </row>
    <row r="34" spans="1:1">
      <c r="A34" s="289" t="s">
        <v>115</v>
      </c>
    </row>
  </sheetData>
  <mergeCells count="9">
    <mergeCell ref="A1:K1"/>
    <mergeCell ref="A2:H2"/>
    <mergeCell ref="G3:K3"/>
    <mergeCell ref="A3:A4"/>
    <mergeCell ref="B3:B4"/>
    <mergeCell ref="C3:C4"/>
    <mergeCell ref="D3:D4"/>
    <mergeCell ref="E3:E4"/>
    <mergeCell ref="F3:F4"/>
  </mergeCells>
  <pageMargins left="1.21875" right="0.707638888888889" top="0.747916666666667" bottom="0.747916666666667" header="0.313888888888889" footer="0.313888888888889"/>
  <pageSetup paperSize="9" scale="9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opLeftCell="B1" workbookViewId="0">
      <selection activeCell="N14" sqref="N14"/>
    </sheetView>
  </sheetViews>
  <sheetFormatPr defaultColWidth="9" defaultRowHeight="14.25"/>
  <cols>
    <col min="1" max="1" width="17.0833333333333" customWidth="1"/>
    <col min="2" max="2" width="13.5" customWidth="1"/>
    <col min="3" max="3" width="17.75" customWidth="1"/>
    <col min="4" max="4" width="14.0833333333333" customWidth="1"/>
    <col min="5" max="5" width="13.8333333333333" customWidth="1"/>
    <col min="6" max="6" width="15" customWidth="1"/>
    <col min="7" max="11" width="14" customWidth="1"/>
  </cols>
  <sheetData>
    <row r="1" ht="37.5" customHeight="1" spans="1:11">
      <c r="A1" s="268" t="s">
        <v>89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20.25" customHeight="1" spans="1:11">
      <c r="A2" s="299" t="s">
        <v>118</v>
      </c>
      <c r="B2" s="300"/>
      <c r="C2" s="300"/>
      <c r="D2" s="300"/>
      <c r="E2" s="301">
        <v>43277</v>
      </c>
      <c r="F2" s="301"/>
      <c r="G2" s="301"/>
      <c r="H2" s="300"/>
      <c r="I2" s="291"/>
      <c r="J2" s="16"/>
      <c r="K2" s="16" t="s">
        <v>3</v>
      </c>
    </row>
    <row r="3" spans="1:11">
      <c r="A3" s="302" t="s">
        <v>29</v>
      </c>
      <c r="B3" s="303" t="s">
        <v>91</v>
      </c>
      <c r="C3" s="303" t="s">
        <v>62</v>
      </c>
      <c r="D3" s="304" t="s">
        <v>63</v>
      </c>
      <c r="E3" s="303" t="s">
        <v>57</v>
      </c>
      <c r="F3" s="304" t="s">
        <v>7</v>
      </c>
      <c r="G3" s="305" t="s">
        <v>65</v>
      </c>
      <c r="H3" s="305"/>
      <c r="I3" s="305"/>
      <c r="J3" s="305"/>
      <c r="K3" s="318"/>
    </row>
    <row r="4" spans="1:11">
      <c r="A4" s="306"/>
      <c r="B4" s="296"/>
      <c r="C4" s="296"/>
      <c r="D4" s="297"/>
      <c r="E4" s="296"/>
      <c r="F4" s="297"/>
      <c r="G4" s="296" t="s">
        <v>66</v>
      </c>
      <c r="H4" s="296" t="s">
        <v>67</v>
      </c>
      <c r="I4" s="296" t="s">
        <v>92</v>
      </c>
      <c r="J4" s="297" t="s">
        <v>69</v>
      </c>
      <c r="K4" s="319" t="s">
        <v>70</v>
      </c>
    </row>
    <row r="5" ht="18.75" customHeight="1" spans="1:11">
      <c r="A5" s="307" t="s">
        <v>93</v>
      </c>
      <c r="B5" s="308">
        <f>SUM(B6,B20,B23,B24,B25,B26)</f>
        <v>13793.36</v>
      </c>
      <c r="C5" s="308"/>
      <c r="D5" s="308">
        <f t="shared" ref="D5:K5" si="0">SUM(D6,D20,D23,D24,D25,D26)</f>
        <v>7465.0941</v>
      </c>
      <c r="E5" s="308">
        <f t="shared" si="0"/>
        <v>6328.2659</v>
      </c>
      <c r="F5" s="278">
        <f t="shared" ref="F5:F32" si="1">D5/B5*100</f>
        <v>54.1209255757843</v>
      </c>
      <c r="G5" s="308">
        <f t="shared" si="0"/>
        <v>7465.092</v>
      </c>
      <c r="H5" s="308">
        <f t="shared" si="0"/>
        <v>3856.342</v>
      </c>
      <c r="I5" s="308">
        <f t="shared" si="0"/>
        <v>1986</v>
      </c>
      <c r="J5" s="308">
        <f t="shared" si="0"/>
        <v>443.47</v>
      </c>
      <c r="K5" s="320">
        <f t="shared" si="0"/>
        <v>1179.28</v>
      </c>
    </row>
    <row r="6" ht="18.75" customHeight="1" spans="1:11">
      <c r="A6" s="309" t="s">
        <v>94</v>
      </c>
      <c r="B6" s="308">
        <f t="shared" ref="B6:K6" si="2">SUM(B7:B19)</f>
        <v>9825.75</v>
      </c>
      <c r="C6" s="308"/>
      <c r="D6" s="308">
        <f t="shared" si="2"/>
        <v>5686.7241</v>
      </c>
      <c r="E6" s="308">
        <f t="shared" si="2"/>
        <v>4139.0259</v>
      </c>
      <c r="F6" s="278">
        <f t="shared" si="1"/>
        <v>57.8757255171361</v>
      </c>
      <c r="G6" s="308">
        <f t="shared" si="2"/>
        <v>5686.722</v>
      </c>
      <c r="H6" s="308">
        <f t="shared" si="2"/>
        <v>2664.342</v>
      </c>
      <c r="I6" s="308">
        <f t="shared" si="2"/>
        <v>1986</v>
      </c>
      <c r="J6" s="308">
        <f t="shared" si="2"/>
        <v>443.47</v>
      </c>
      <c r="K6" s="320">
        <f t="shared" si="2"/>
        <v>592.91</v>
      </c>
    </row>
    <row r="7" ht="18.75" customHeight="1" spans="1:11">
      <c r="A7" s="310" t="s">
        <v>33</v>
      </c>
      <c r="B7" s="278">
        <f>1454.26+664</f>
        <v>2118.26</v>
      </c>
      <c r="C7" s="281" t="s">
        <v>71</v>
      </c>
      <c r="D7" s="278">
        <f>2141.055+6.3-65+8.227</f>
        <v>2090.582</v>
      </c>
      <c r="E7" s="278">
        <f t="shared" ref="E7:E31" si="3">B7-D7</f>
        <v>27.6780000000003</v>
      </c>
      <c r="F7" s="278">
        <f t="shared" si="1"/>
        <v>98.6933615325786</v>
      </c>
      <c r="G7" s="278">
        <f t="shared" ref="G7:G19" si="4">SUM(H7:K7)</f>
        <v>2090.582</v>
      </c>
      <c r="H7" s="278">
        <v>2090.582</v>
      </c>
      <c r="I7" s="278"/>
      <c r="J7" s="311"/>
      <c r="K7" s="321"/>
    </row>
    <row r="8" ht="18.75" customHeight="1" spans="1:11">
      <c r="A8" s="310" t="s">
        <v>34</v>
      </c>
      <c r="B8" s="278">
        <v>5</v>
      </c>
      <c r="C8" s="281" t="s">
        <v>73</v>
      </c>
      <c r="D8" s="278">
        <v>4.4721</v>
      </c>
      <c r="E8" s="278">
        <f t="shared" si="3"/>
        <v>0.5279</v>
      </c>
      <c r="F8" s="278">
        <f t="shared" si="1"/>
        <v>89.442</v>
      </c>
      <c r="G8" s="278">
        <f t="shared" si="4"/>
        <v>4.47</v>
      </c>
      <c r="H8" s="278"/>
      <c r="I8" s="278"/>
      <c r="J8" s="278">
        <v>4.47</v>
      </c>
      <c r="K8" s="321"/>
    </row>
    <row r="9" ht="18.75" customHeight="1" spans="1:11">
      <c r="A9" s="310" t="s">
        <v>35</v>
      </c>
      <c r="B9" s="278">
        <f>3215.2-230</f>
        <v>2985.2</v>
      </c>
      <c r="C9" s="281" t="s">
        <v>68</v>
      </c>
      <c r="D9" s="278">
        <v>1986</v>
      </c>
      <c r="E9" s="278">
        <f t="shared" si="3"/>
        <v>999.2</v>
      </c>
      <c r="F9" s="278">
        <f t="shared" si="1"/>
        <v>66.5282058153558</v>
      </c>
      <c r="G9" s="278">
        <f t="shared" si="4"/>
        <v>1986</v>
      </c>
      <c r="H9" s="278"/>
      <c r="I9" s="278">
        <v>1986</v>
      </c>
      <c r="J9" s="278"/>
      <c r="K9" s="321"/>
    </row>
    <row r="10" ht="37.5" customHeight="1" spans="1:11">
      <c r="A10" s="310" t="s">
        <v>36</v>
      </c>
      <c r="B10" s="278">
        <v>481</v>
      </c>
      <c r="C10" s="283" t="s">
        <v>75</v>
      </c>
      <c r="D10" s="278">
        <f>311.85+12.73</f>
        <v>324.58</v>
      </c>
      <c r="E10" s="278">
        <f t="shared" si="3"/>
        <v>156.42</v>
      </c>
      <c r="F10" s="278">
        <f t="shared" si="1"/>
        <v>67.4802494802495</v>
      </c>
      <c r="G10" s="278">
        <f t="shared" si="4"/>
        <v>324.58</v>
      </c>
      <c r="H10" s="311"/>
      <c r="I10" s="278"/>
      <c r="J10" s="278">
        <v>279</v>
      </c>
      <c r="K10" s="321">
        <f>18.85+14+12.73</f>
        <v>45.58</v>
      </c>
    </row>
    <row r="11" ht="18.75" customHeight="1" spans="1:11">
      <c r="A11" s="310" t="s">
        <v>37</v>
      </c>
      <c r="B11" s="278">
        <v>574.9</v>
      </c>
      <c r="C11" s="281" t="s">
        <v>76</v>
      </c>
      <c r="D11" s="278">
        <v>160</v>
      </c>
      <c r="E11" s="278">
        <f t="shared" si="3"/>
        <v>414.9</v>
      </c>
      <c r="F11" s="278">
        <f t="shared" si="1"/>
        <v>27.8309271177596</v>
      </c>
      <c r="G11" s="278">
        <f t="shared" si="4"/>
        <v>160</v>
      </c>
      <c r="H11" s="278"/>
      <c r="I11" s="278"/>
      <c r="J11" s="278">
        <v>160</v>
      </c>
      <c r="K11" s="321"/>
    </row>
    <row r="12" ht="35.25" customHeight="1" spans="1:11">
      <c r="A12" s="310" t="s">
        <v>38</v>
      </c>
      <c r="B12" s="278">
        <f>1132.83-30</f>
        <v>1102.83</v>
      </c>
      <c r="C12" s="283" t="s">
        <v>95</v>
      </c>
      <c r="D12" s="278">
        <v>297.19</v>
      </c>
      <c r="E12" s="278">
        <f t="shared" si="3"/>
        <v>805.64</v>
      </c>
      <c r="F12" s="278">
        <f t="shared" si="1"/>
        <v>26.947943019323</v>
      </c>
      <c r="G12" s="278">
        <f t="shared" si="4"/>
        <v>297.19</v>
      </c>
      <c r="H12" s="278">
        <v>297.19</v>
      </c>
      <c r="I12" s="278"/>
      <c r="J12" s="278"/>
      <c r="K12" s="321"/>
    </row>
    <row r="13" ht="18.75" customHeight="1" spans="1:11">
      <c r="A13" s="310" t="s">
        <v>39</v>
      </c>
      <c r="B13" s="278">
        <v>78.87</v>
      </c>
      <c r="C13" s="281" t="s">
        <v>78</v>
      </c>
      <c r="D13" s="278">
        <v>74.005</v>
      </c>
      <c r="E13" s="278">
        <f t="shared" si="3"/>
        <v>4.86500000000001</v>
      </c>
      <c r="F13" s="278">
        <f t="shared" si="1"/>
        <v>93.8316216558894</v>
      </c>
      <c r="G13" s="278">
        <f t="shared" si="4"/>
        <v>74.005</v>
      </c>
      <c r="H13" s="278">
        <v>74.005</v>
      </c>
      <c r="I13" s="278"/>
      <c r="J13" s="278"/>
      <c r="K13" s="321"/>
    </row>
    <row r="14" ht="18.75" customHeight="1" spans="1:11">
      <c r="A14" s="310" t="s">
        <v>41</v>
      </c>
      <c r="B14" s="278">
        <v>1738.17</v>
      </c>
      <c r="C14" s="281" t="s">
        <v>80</v>
      </c>
      <c r="D14" s="278">
        <f>115.155+62.63</f>
        <v>177.785</v>
      </c>
      <c r="E14" s="278">
        <f t="shared" si="3"/>
        <v>1560.385</v>
      </c>
      <c r="F14" s="278">
        <f t="shared" si="1"/>
        <v>10.2282860709827</v>
      </c>
      <c r="G14" s="278">
        <f t="shared" si="4"/>
        <v>177.785</v>
      </c>
      <c r="H14" s="278">
        <f>115.155+62.63</f>
        <v>177.785</v>
      </c>
      <c r="I14" s="278"/>
      <c r="J14" s="278"/>
      <c r="K14" s="321"/>
    </row>
    <row r="15" ht="18.75" customHeight="1" spans="1:11">
      <c r="A15" s="310" t="s">
        <v>42</v>
      </c>
      <c r="B15" s="278">
        <v>88.19</v>
      </c>
      <c r="C15" s="285" t="s">
        <v>81</v>
      </c>
      <c r="D15" s="278">
        <v>23.78</v>
      </c>
      <c r="E15" s="278">
        <f t="shared" si="3"/>
        <v>64.41</v>
      </c>
      <c r="F15" s="278">
        <f t="shared" si="1"/>
        <v>26.9645084476698</v>
      </c>
      <c r="G15" s="278">
        <f t="shared" si="4"/>
        <v>23.78</v>
      </c>
      <c r="H15" s="278">
        <v>23.78</v>
      </c>
      <c r="I15" s="278"/>
      <c r="J15" s="278"/>
      <c r="K15" s="321"/>
    </row>
    <row r="16" ht="18.75" customHeight="1" spans="1:11">
      <c r="A16" s="310" t="s">
        <v>45</v>
      </c>
      <c r="B16" s="278">
        <v>7.58</v>
      </c>
      <c r="C16" s="285" t="s">
        <v>81</v>
      </c>
      <c r="D16" s="278">
        <v>1</v>
      </c>
      <c r="E16" s="278">
        <f t="shared" si="3"/>
        <v>6.58</v>
      </c>
      <c r="F16" s="278">
        <f t="shared" si="1"/>
        <v>13.1926121372032</v>
      </c>
      <c r="G16" s="278">
        <f t="shared" si="4"/>
        <v>1</v>
      </c>
      <c r="H16" s="278">
        <v>1</v>
      </c>
      <c r="I16" s="278"/>
      <c r="J16" s="278"/>
      <c r="K16" s="321"/>
    </row>
    <row r="17" ht="18.75" customHeight="1" spans="1:11">
      <c r="A17" s="310" t="s">
        <v>112</v>
      </c>
      <c r="B17" s="278">
        <v>16</v>
      </c>
      <c r="C17" s="285" t="s">
        <v>107</v>
      </c>
      <c r="D17" s="278"/>
      <c r="E17" s="278">
        <f t="shared" si="3"/>
        <v>16</v>
      </c>
      <c r="F17" s="278">
        <f t="shared" si="1"/>
        <v>0</v>
      </c>
      <c r="G17" s="278">
        <f t="shared" si="4"/>
        <v>0</v>
      </c>
      <c r="H17" s="278"/>
      <c r="I17" s="278"/>
      <c r="J17" s="278"/>
      <c r="K17" s="321"/>
    </row>
    <row r="18" ht="18.75" customHeight="1" spans="1:11">
      <c r="A18" s="310" t="s">
        <v>113</v>
      </c>
      <c r="B18" s="278">
        <v>31.8</v>
      </c>
      <c r="C18" s="285" t="s">
        <v>108</v>
      </c>
      <c r="D18" s="278"/>
      <c r="E18" s="278">
        <f t="shared" si="3"/>
        <v>31.8</v>
      </c>
      <c r="F18" s="278">
        <f t="shared" si="1"/>
        <v>0</v>
      </c>
      <c r="G18" s="278">
        <f t="shared" si="4"/>
        <v>0</v>
      </c>
      <c r="H18" s="278"/>
      <c r="I18" s="278"/>
      <c r="J18" s="278"/>
      <c r="K18" s="321"/>
    </row>
    <row r="19" ht="18.75" customHeight="1" spans="1:11">
      <c r="A19" s="310" t="s">
        <v>96</v>
      </c>
      <c r="B19" s="278">
        <v>597.95</v>
      </c>
      <c r="C19" s="285"/>
      <c r="D19" s="278">
        <f>7+515.74+24.59</f>
        <v>547.33</v>
      </c>
      <c r="E19" s="278">
        <f t="shared" si="3"/>
        <v>50.62</v>
      </c>
      <c r="F19" s="278">
        <f t="shared" si="1"/>
        <v>91.5344092315411</v>
      </c>
      <c r="G19" s="278">
        <f t="shared" si="4"/>
        <v>547.33</v>
      </c>
      <c r="H19" s="278"/>
      <c r="I19" s="278"/>
      <c r="J19" s="278"/>
      <c r="K19" s="321">
        <f>7+515.74+24.59</f>
        <v>547.33</v>
      </c>
    </row>
    <row r="20" ht="18.75" customHeight="1" spans="1:11">
      <c r="A20" s="310" t="s">
        <v>97</v>
      </c>
      <c r="B20" s="278">
        <f t="shared" ref="B20:K20" si="5">SUM(B21:B22)</f>
        <v>80.61</v>
      </c>
      <c r="C20" s="281"/>
      <c r="D20" s="278">
        <f t="shared" si="5"/>
        <v>80.61</v>
      </c>
      <c r="E20" s="278">
        <f t="shared" si="3"/>
        <v>0</v>
      </c>
      <c r="F20" s="278">
        <f t="shared" si="1"/>
        <v>100</v>
      </c>
      <c r="G20" s="278">
        <f t="shared" si="5"/>
        <v>80.61</v>
      </c>
      <c r="H20" s="278">
        <f t="shared" si="5"/>
        <v>65</v>
      </c>
      <c r="I20" s="278"/>
      <c r="J20" s="278"/>
      <c r="K20" s="321">
        <f t="shared" si="5"/>
        <v>15.61</v>
      </c>
    </row>
    <row r="21" ht="18.75" customHeight="1" spans="1:11">
      <c r="A21" s="310" t="s">
        <v>33</v>
      </c>
      <c r="B21" s="278">
        <v>65</v>
      </c>
      <c r="C21" s="281" t="s">
        <v>71</v>
      </c>
      <c r="D21" s="278">
        <v>65</v>
      </c>
      <c r="E21" s="278">
        <f t="shared" si="3"/>
        <v>0</v>
      </c>
      <c r="F21" s="278">
        <f t="shared" si="1"/>
        <v>100</v>
      </c>
      <c r="G21" s="278">
        <f t="shared" ref="G21:G26" si="6">SUM(H21:K21)</f>
        <v>65</v>
      </c>
      <c r="H21" s="278">
        <v>65</v>
      </c>
      <c r="I21" s="278"/>
      <c r="J21" s="278"/>
      <c r="K21" s="321"/>
    </row>
    <row r="22" ht="18.75" customHeight="1" spans="1:11">
      <c r="A22" s="310" t="s">
        <v>96</v>
      </c>
      <c r="B22" s="278">
        <v>15.61</v>
      </c>
      <c r="C22" s="281"/>
      <c r="D22" s="278">
        <v>15.61</v>
      </c>
      <c r="E22" s="278">
        <f t="shared" si="3"/>
        <v>0</v>
      </c>
      <c r="F22" s="278">
        <f t="shared" si="1"/>
        <v>100</v>
      </c>
      <c r="G22" s="278">
        <f t="shared" si="6"/>
        <v>15.61</v>
      </c>
      <c r="H22" s="278"/>
      <c r="I22" s="278"/>
      <c r="J22" s="278"/>
      <c r="K22" s="321">
        <v>15.61</v>
      </c>
    </row>
    <row r="23" ht="18.75" customHeight="1" spans="1:11">
      <c r="A23" s="310" t="s">
        <v>98</v>
      </c>
      <c r="B23" s="278">
        <v>20</v>
      </c>
      <c r="C23" s="281"/>
      <c r="D23" s="278">
        <v>0</v>
      </c>
      <c r="E23" s="278">
        <f t="shared" si="3"/>
        <v>20</v>
      </c>
      <c r="F23" s="278">
        <f t="shared" si="1"/>
        <v>0</v>
      </c>
      <c r="G23" s="278">
        <f t="shared" si="6"/>
        <v>0</v>
      </c>
      <c r="H23" s="278"/>
      <c r="I23" s="278"/>
      <c r="J23" s="278"/>
      <c r="K23" s="321"/>
    </row>
    <row r="24" ht="18.75" customHeight="1" spans="1:11">
      <c r="A24" s="310" t="s">
        <v>99</v>
      </c>
      <c r="B24" s="278">
        <v>40</v>
      </c>
      <c r="C24" s="281"/>
      <c r="D24" s="278"/>
      <c r="E24" s="278">
        <f t="shared" si="3"/>
        <v>40</v>
      </c>
      <c r="F24" s="278">
        <f t="shared" si="1"/>
        <v>0</v>
      </c>
      <c r="G24" s="278">
        <f t="shared" si="6"/>
        <v>0</v>
      </c>
      <c r="H24" s="278"/>
      <c r="I24" s="278"/>
      <c r="J24" s="278"/>
      <c r="K24" s="321"/>
    </row>
    <row r="25" ht="18.75" customHeight="1" spans="1:11">
      <c r="A25" s="310" t="s">
        <v>100</v>
      </c>
      <c r="B25" s="278">
        <v>1127</v>
      </c>
      <c r="C25" s="285" t="s">
        <v>119</v>
      </c>
      <c r="D25" s="278">
        <v>1127</v>
      </c>
      <c r="E25" s="278">
        <f t="shared" si="3"/>
        <v>0</v>
      </c>
      <c r="F25" s="278">
        <f t="shared" si="1"/>
        <v>100</v>
      </c>
      <c r="G25" s="278">
        <f t="shared" si="6"/>
        <v>1127</v>
      </c>
      <c r="H25" s="278">
        <v>1127</v>
      </c>
      <c r="I25" s="278"/>
      <c r="J25" s="278"/>
      <c r="K25" s="321"/>
    </row>
    <row r="26" ht="18.75" customHeight="1" spans="1:11">
      <c r="A26" s="310" t="s">
        <v>101</v>
      </c>
      <c r="B26" s="278">
        <v>2700</v>
      </c>
      <c r="C26" s="278"/>
      <c r="D26" s="278">
        <v>570.76</v>
      </c>
      <c r="E26" s="278">
        <f t="shared" si="3"/>
        <v>2129.24</v>
      </c>
      <c r="F26" s="278">
        <f t="shared" si="1"/>
        <v>21.1392592592593</v>
      </c>
      <c r="G26" s="278">
        <f t="shared" si="6"/>
        <v>570.76</v>
      </c>
      <c r="H26" s="278"/>
      <c r="I26" s="278"/>
      <c r="J26" s="278"/>
      <c r="K26" s="321">
        <v>570.76</v>
      </c>
    </row>
    <row r="27" ht="18.75" customHeight="1" spans="1:11">
      <c r="A27" s="312" t="s">
        <v>102</v>
      </c>
      <c r="B27" s="313">
        <f t="shared" ref="B27:J27" si="7">SUM(B28:B31)</f>
        <v>942</v>
      </c>
      <c r="C27" s="313"/>
      <c r="D27" s="313">
        <f t="shared" si="7"/>
        <v>941.3</v>
      </c>
      <c r="E27" s="278">
        <f t="shared" si="3"/>
        <v>0.700000000000045</v>
      </c>
      <c r="F27" s="278">
        <f t="shared" si="1"/>
        <v>99.9256900212314</v>
      </c>
      <c r="G27" s="278">
        <f t="shared" si="7"/>
        <v>941.3</v>
      </c>
      <c r="H27" s="278">
        <f t="shared" si="7"/>
        <v>841.3</v>
      </c>
      <c r="I27" s="278"/>
      <c r="J27" s="278">
        <f t="shared" si="7"/>
        <v>100</v>
      </c>
      <c r="K27" s="321"/>
    </row>
    <row r="28" ht="18.75" customHeight="1" spans="1:11">
      <c r="A28" s="314" t="s">
        <v>33</v>
      </c>
      <c r="B28" s="313">
        <v>176</v>
      </c>
      <c r="C28" s="281" t="s">
        <v>71</v>
      </c>
      <c r="D28" s="313">
        <v>176</v>
      </c>
      <c r="E28" s="278">
        <f t="shared" si="3"/>
        <v>0</v>
      </c>
      <c r="F28" s="278">
        <f t="shared" si="1"/>
        <v>100</v>
      </c>
      <c r="G28" s="278">
        <f>SUM(H28:K28)</f>
        <v>176</v>
      </c>
      <c r="H28" s="313">
        <v>176</v>
      </c>
      <c r="I28" s="313"/>
      <c r="J28" s="313"/>
      <c r="K28" s="322"/>
    </row>
    <row r="29" ht="18.75" customHeight="1" spans="1:11">
      <c r="A29" s="314" t="s">
        <v>38</v>
      </c>
      <c r="B29" s="313">
        <v>166</v>
      </c>
      <c r="C29" s="315" t="s">
        <v>103</v>
      </c>
      <c r="D29" s="313">
        <v>165.3</v>
      </c>
      <c r="E29" s="278">
        <f t="shared" si="3"/>
        <v>0.699999999999989</v>
      </c>
      <c r="F29" s="278">
        <f t="shared" si="1"/>
        <v>99.5783132530121</v>
      </c>
      <c r="G29" s="278">
        <f>SUM(H29:K29)</f>
        <v>165.3</v>
      </c>
      <c r="H29" s="313">
        <v>165.3</v>
      </c>
      <c r="I29" s="313"/>
      <c r="J29" s="313"/>
      <c r="K29" s="322"/>
    </row>
    <row r="30" ht="18.75" customHeight="1" spans="1:11">
      <c r="A30" s="314" t="s">
        <v>37</v>
      </c>
      <c r="B30" s="313">
        <v>100</v>
      </c>
      <c r="C30" s="281" t="s">
        <v>76</v>
      </c>
      <c r="D30" s="313">
        <v>100</v>
      </c>
      <c r="E30" s="278">
        <f t="shared" si="3"/>
        <v>0</v>
      </c>
      <c r="F30" s="278">
        <f t="shared" si="1"/>
        <v>100</v>
      </c>
      <c r="G30" s="278">
        <f>SUM(H30:K30)</f>
        <v>100</v>
      </c>
      <c r="H30" s="313"/>
      <c r="I30" s="313"/>
      <c r="J30" s="313">
        <v>100</v>
      </c>
      <c r="K30" s="322"/>
    </row>
    <row r="31" ht="18.75" customHeight="1" spans="1:11">
      <c r="A31" s="314" t="s">
        <v>41</v>
      </c>
      <c r="B31" s="313">
        <v>500</v>
      </c>
      <c r="C31" s="281" t="s">
        <v>80</v>
      </c>
      <c r="D31" s="313">
        <v>500</v>
      </c>
      <c r="E31" s="278">
        <f t="shared" si="3"/>
        <v>0</v>
      </c>
      <c r="F31" s="278">
        <f t="shared" si="1"/>
        <v>100</v>
      </c>
      <c r="G31" s="278">
        <f>SUM(H31:K31)</f>
        <v>500</v>
      </c>
      <c r="H31" s="313">
        <v>500</v>
      </c>
      <c r="I31" s="313"/>
      <c r="J31" s="313"/>
      <c r="K31" s="322"/>
    </row>
    <row r="32" ht="18.75" customHeight="1" spans="1:11">
      <c r="A32" s="316" t="s">
        <v>27</v>
      </c>
      <c r="B32" s="317">
        <f>B27+B5</f>
        <v>14735.36</v>
      </c>
      <c r="C32" s="317"/>
      <c r="D32" s="317">
        <f t="shared" ref="D32:K32" si="8">D27+D5</f>
        <v>8406.3941</v>
      </c>
      <c r="E32" s="317">
        <f t="shared" si="8"/>
        <v>6328.9659</v>
      </c>
      <c r="F32" s="317">
        <f t="shared" si="1"/>
        <v>57.0491260478197</v>
      </c>
      <c r="G32" s="317">
        <f>G6+G20+G23+G24+G25+G26+G27</f>
        <v>8406.392</v>
      </c>
      <c r="H32" s="317">
        <f t="shared" si="8"/>
        <v>4697.642</v>
      </c>
      <c r="I32" s="317">
        <f t="shared" si="8"/>
        <v>1986</v>
      </c>
      <c r="J32" s="317">
        <f t="shared" si="8"/>
        <v>543.47</v>
      </c>
      <c r="K32" s="323">
        <f t="shared" si="8"/>
        <v>1179.28</v>
      </c>
    </row>
    <row r="33" spans="1:1">
      <c r="A33" s="288" t="s">
        <v>120</v>
      </c>
    </row>
    <row r="34" spans="1:1">
      <c r="A34" s="289" t="s">
        <v>121</v>
      </c>
    </row>
  </sheetData>
  <mergeCells count="9">
    <mergeCell ref="A1:K1"/>
    <mergeCell ref="E2:G2"/>
    <mergeCell ref="G3:K3"/>
    <mergeCell ref="A3:A4"/>
    <mergeCell ref="B3:B4"/>
    <mergeCell ref="C3:C4"/>
    <mergeCell ref="D3:D4"/>
    <mergeCell ref="E3:E4"/>
    <mergeCell ref="F3:F4"/>
  </mergeCells>
  <pageMargins left="1.14930555555556" right="0.76875" top="0.747916666666667" bottom="0.747916666666667" header="0.313888888888889" footer="0.313888888888889"/>
  <pageSetup paperSize="9" scale="72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workbookViewId="0">
      <selection activeCell="N14" sqref="N14"/>
    </sheetView>
  </sheetViews>
  <sheetFormatPr defaultColWidth="9" defaultRowHeight="14.25"/>
  <cols>
    <col min="1" max="1" width="17.0833333333333" customWidth="1"/>
    <col min="2" max="2" width="13.5" customWidth="1"/>
    <col min="3" max="3" width="17.75" customWidth="1"/>
    <col min="4" max="4" width="14.0833333333333" customWidth="1"/>
    <col min="5" max="5" width="13.8333333333333" customWidth="1"/>
    <col min="6" max="6" width="15" customWidth="1"/>
    <col min="7" max="11" width="14" customWidth="1"/>
  </cols>
  <sheetData>
    <row r="1" ht="37.5" customHeight="1" spans="1:11">
      <c r="A1" s="268" t="s">
        <v>89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20.25" customHeight="1" spans="1:11">
      <c r="A2" s="269" t="s">
        <v>118</v>
      </c>
      <c r="B2" s="3"/>
      <c r="C2" s="3"/>
      <c r="D2" s="3"/>
      <c r="E2" s="270">
        <v>43278</v>
      </c>
      <c r="F2" s="270"/>
      <c r="G2" s="270"/>
      <c r="H2" s="3"/>
      <c r="I2" s="291"/>
      <c r="J2" s="16"/>
      <c r="K2" s="16" t="s">
        <v>3</v>
      </c>
    </row>
    <row r="3" spans="1:12">
      <c r="A3" s="271" t="s">
        <v>29</v>
      </c>
      <c r="B3" s="271" t="s">
        <v>91</v>
      </c>
      <c r="C3" s="271" t="s">
        <v>62</v>
      </c>
      <c r="D3" s="272" t="s">
        <v>63</v>
      </c>
      <c r="E3" s="271" t="s">
        <v>57</v>
      </c>
      <c r="F3" s="272" t="s">
        <v>7</v>
      </c>
      <c r="G3" s="271" t="s">
        <v>65</v>
      </c>
      <c r="H3" s="271"/>
      <c r="I3" s="271"/>
      <c r="J3" s="271"/>
      <c r="K3" s="271"/>
      <c r="L3" s="272" t="s">
        <v>52</v>
      </c>
    </row>
    <row r="4" spans="1:12">
      <c r="A4" s="271"/>
      <c r="B4" s="271"/>
      <c r="C4" s="271"/>
      <c r="D4" s="272"/>
      <c r="E4" s="271"/>
      <c r="F4" s="272"/>
      <c r="G4" s="271" t="s">
        <v>66</v>
      </c>
      <c r="H4" s="271" t="s">
        <v>67</v>
      </c>
      <c r="I4" s="271" t="s">
        <v>92</v>
      </c>
      <c r="J4" s="272" t="s">
        <v>69</v>
      </c>
      <c r="K4" s="271" t="s">
        <v>70</v>
      </c>
      <c r="L4" s="272"/>
    </row>
    <row r="5" ht="18.75" customHeight="1" spans="1:12">
      <c r="A5" s="275" t="s">
        <v>93</v>
      </c>
      <c r="B5" s="276">
        <f>SUM(B6,B20,B23,B24,B25,B26)</f>
        <v>13793.36</v>
      </c>
      <c r="C5" s="276"/>
      <c r="D5" s="276">
        <f t="shared" ref="D5:K5" si="0">SUM(D6,D20,D23,D24,D25,D26)</f>
        <v>10199.265</v>
      </c>
      <c r="E5" s="276">
        <f t="shared" si="0"/>
        <v>3594.095</v>
      </c>
      <c r="F5" s="278">
        <f t="shared" ref="F5:F32" si="1">D5/B5*100</f>
        <v>73.9432959046962</v>
      </c>
      <c r="G5" s="276">
        <f t="shared" si="0"/>
        <v>10199.2629</v>
      </c>
      <c r="H5" s="276">
        <f t="shared" si="0"/>
        <v>7077.162</v>
      </c>
      <c r="I5" s="276">
        <f t="shared" si="0"/>
        <v>1986</v>
      </c>
      <c r="J5" s="276">
        <f t="shared" si="0"/>
        <v>485.605</v>
      </c>
      <c r="K5" s="276">
        <f t="shared" si="0"/>
        <v>650.4959</v>
      </c>
      <c r="L5" s="24"/>
    </row>
    <row r="6" ht="18.75" customHeight="1" spans="1:12">
      <c r="A6" s="279" t="s">
        <v>94</v>
      </c>
      <c r="B6" s="276">
        <f t="shared" ref="B6:K6" si="2">SUM(B7:B19)</f>
        <v>9825.75</v>
      </c>
      <c r="C6" s="276"/>
      <c r="D6" s="276">
        <f t="shared" si="2"/>
        <v>6691.655</v>
      </c>
      <c r="E6" s="276">
        <f t="shared" si="2"/>
        <v>3134.095</v>
      </c>
      <c r="F6" s="278">
        <f t="shared" si="1"/>
        <v>68.1032491158436</v>
      </c>
      <c r="G6" s="276">
        <f t="shared" si="2"/>
        <v>6691.6529</v>
      </c>
      <c r="H6" s="276">
        <f t="shared" si="2"/>
        <v>3585.162</v>
      </c>
      <c r="I6" s="276">
        <f t="shared" si="2"/>
        <v>1986</v>
      </c>
      <c r="J6" s="276">
        <f t="shared" si="2"/>
        <v>485.605</v>
      </c>
      <c r="K6" s="276">
        <f t="shared" si="2"/>
        <v>634.8859</v>
      </c>
      <c r="L6" s="24"/>
    </row>
    <row r="7" ht="18.75" customHeight="1" spans="1:12">
      <c r="A7" s="280" t="s">
        <v>33</v>
      </c>
      <c r="B7" s="278">
        <f>1454.26+664</f>
        <v>2118.26</v>
      </c>
      <c r="C7" s="281" t="s">
        <v>71</v>
      </c>
      <c r="D7" s="278">
        <f>2141.055+6.3-65+8.227</f>
        <v>2090.582</v>
      </c>
      <c r="E7" s="278">
        <f t="shared" ref="E7:E31" si="3">B7-D7</f>
        <v>27.6780000000003</v>
      </c>
      <c r="F7" s="278">
        <f t="shared" si="1"/>
        <v>98.6933615325786</v>
      </c>
      <c r="G7" s="278">
        <f t="shared" ref="G7:G19" si="4">SUM(H7:K7)</f>
        <v>2090.582</v>
      </c>
      <c r="H7" s="278">
        <v>2090.582</v>
      </c>
      <c r="I7" s="278"/>
      <c r="J7" s="298"/>
      <c r="K7" s="278"/>
      <c r="L7" s="24"/>
    </row>
    <row r="8" ht="18.75" customHeight="1" spans="1:12">
      <c r="A8" s="280" t="s">
        <v>34</v>
      </c>
      <c r="B8" s="278">
        <v>5</v>
      </c>
      <c r="C8" s="281" t="s">
        <v>73</v>
      </c>
      <c r="D8" s="278">
        <v>4.4721</v>
      </c>
      <c r="E8" s="278">
        <f t="shared" si="3"/>
        <v>0.5279</v>
      </c>
      <c r="F8" s="278">
        <f t="shared" si="1"/>
        <v>89.442</v>
      </c>
      <c r="G8" s="278">
        <f t="shared" si="4"/>
        <v>4.47</v>
      </c>
      <c r="H8" s="278"/>
      <c r="I8" s="278"/>
      <c r="J8" s="278">
        <v>4.47</v>
      </c>
      <c r="K8" s="278"/>
      <c r="L8" s="24"/>
    </row>
    <row r="9" ht="18.75" customHeight="1" spans="1:12">
      <c r="A9" s="280" t="s">
        <v>35</v>
      </c>
      <c r="B9" s="278">
        <f>3215.2-230</f>
        <v>2985.2</v>
      </c>
      <c r="C9" s="281" t="s">
        <v>68</v>
      </c>
      <c r="D9" s="278">
        <v>1986</v>
      </c>
      <c r="E9" s="278">
        <f t="shared" si="3"/>
        <v>999.2</v>
      </c>
      <c r="F9" s="278">
        <f t="shared" si="1"/>
        <v>66.5282058153558</v>
      </c>
      <c r="G9" s="278">
        <f t="shared" si="4"/>
        <v>1986</v>
      </c>
      <c r="H9" s="278"/>
      <c r="I9" s="278">
        <v>1986</v>
      </c>
      <c r="J9" s="278"/>
      <c r="K9" s="278"/>
      <c r="L9" s="24"/>
    </row>
    <row r="10" ht="37.5" customHeight="1" spans="1:12">
      <c r="A10" s="280" t="s">
        <v>36</v>
      </c>
      <c r="B10" s="278">
        <v>481</v>
      </c>
      <c r="C10" s="283" t="s">
        <v>75</v>
      </c>
      <c r="D10" s="278">
        <f>311.85+12.73+8.25</f>
        <v>332.83</v>
      </c>
      <c r="E10" s="278">
        <f t="shared" si="3"/>
        <v>148.17</v>
      </c>
      <c r="F10" s="278">
        <f t="shared" si="1"/>
        <v>69.1954261954262</v>
      </c>
      <c r="G10" s="278">
        <f t="shared" si="4"/>
        <v>332.83</v>
      </c>
      <c r="H10" s="298"/>
      <c r="I10" s="278"/>
      <c r="J10" s="278">
        <f>279+5.25</f>
        <v>284.25</v>
      </c>
      <c r="K10" s="278">
        <f>18.85+14+12.73+3</f>
        <v>48.58</v>
      </c>
      <c r="L10" s="24"/>
    </row>
    <row r="11" ht="18.75" customHeight="1" spans="1:12">
      <c r="A11" s="280" t="s">
        <v>37</v>
      </c>
      <c r="B11" s="278">
        <v>574.9</v>
      </c>
      <c r="C11" s="281" t="s">
        <v>76</v>
      </c>
      <c r="D11" s="278">
        <f>160+36.885</f>
        <v>196.885</v>
      </c>
      <c r="E11" s="278">
        <f t="shared" si="3"/>
        <v>378.015</v>
      </c>
      <c r="F11" s="278">
        <f t="shared" si="1"/>
        <v>34.2468255348756</v>
      </c>
      <c r="G11" s="278">
        <f t="shared" si="4"/>
        <v>196.885</v>
      </c>
      <c r="H11" s="278"/>
      <c r="I11" s="278"/>
      <c r="J11" s="278">
        <f>160+36.885</f>
        <v>196.885</v>
      </c>
      <c r="K11" s="278"/>
      <c r="L11" s="24"/>
    </row>
    <row r="12" ht="35.25" customHeight="1" spans="1:12">
      <c r="A12" s="280" t="s">
        <v>38</v>
      </c>
      <c r="B12" s="278">
        <f>1132.83-30</f>
        <v>1102.83</v>
      </c>
      <c r="C12" s="283" t="s">
        <v>95</v>
      </c>
      <c r="D12" s="278">
        <f>297.19+3.12</f>
        <v>300.31</v>
      </c>
      <c r="E12" s="278">
        <f t="shared" si="3"/>
        <v>802.52</v>
      </c>
      <c r="F12" s="278">
        <f t="shared" si="1"/>
        <v>27.2308515365016</v>
      </c>
      <c r="G12" s="278">
        <f t="shared" si="4"/>
        <v>300.31</v>
      </c>
      <c r="H12" s="278">
        <f>297.19+3.12</f>
        <v>300.31</v>
      </c>
      <c r="I12" s="278"/>
      <c r="J12" s="278"/>
      <c r="K12" s="278"/>
      <c r="L12" s="24"/>
    </row>
    <row r="13" ht="18.75" customHeight="1" spans="1:12">
      <c r="A13" s="280" t="s">
        <v>39</v>
      </c>
      <c r="B13" s="278">
        <v>78.87</v>
      </c>
      <c r="C13" s="281" t="s">
        <v>78</v>
      </c>
      <c r="D13" s="278">
        <v>74.005</v>
      </c>
      <c r="E13" s="278">
        <f t="shared" si="3"/>
        <v>4.86500000000001</v>
      </c>
      <c r="F13" s="278">
        <f t="shared" si="1"/>
        <v>93.8316216558894</v>
      </c>
      <c r="G13" s="278">
        <f t="shared" si="4"/>
        <v>74.005</v>
      </c>
      <c r="H13" s="278">
        <v>74.005</v>
      </c>
      <c r="I13" s="278"/>
      <c r="J13" s="278"/>
      <c r="K13" s="278"/>
      <c r="L13" s="24"/>
    </row>
    <row r="14" ht="18.75" customHeight="1" spans="1:12">
      <c r="A14" s="280" t="s">
        <v>41</v>
      </c>
      <c r="B14" s="278">
        <v>1738.17</v>
      </c>
      <c r="C14" s="281" t="s">
        <v>80</v>
      </c>
      <c r="D14" s="278">
        <f>115.155+62.63+912+5.7</f>
        <v>1095.485</v>
      </c>
      <c r="E14" s="278">
        <f t="shared" si="3"/>
        <v>642.685</v>
      </c>
      <c r="F14" s="278">
        <f t="shared" si="1"/>
        <v>63.0251931629242</v>
      </c>
      <c r="G14" s="278">
        <f t="shared" si="4"/>
        <v>1095.485</v>
      </c>
      <c r="H14" s="278">
        <f>115.155+62.63+912+5.7</f>
        <v>1095.485</v>
      </c>
      <c r="I14" s="278"/>
      <c r="J14" s="278"/>
      <c r="L14" s="24"/>
    </row>
    <row r="15" ht="18.75" customHeight="1" spans="1:12">
      <c r="A15" s="280" t="s">
        <v>42</v>
      </c>
      <c r="B15" s="278">
        <v>88.19</v>
      </c>
      <c r="C15" s="285" t="s">
        <v>81</v>
      </c>
      <c r="D15" s="278">
        <v>23.78</v>
      </c>
      <c r="E15" s="278">
        <f t="shared" si="3"/>
        <v>64.41</v>
      </c>
      <c r="F15" s="278">
        <f t="shared" si="1"/>
        <v>26.9645084476698</v>
      </c>
      <c r="G15" s="278">
        <f t="shared" si="4"/>
        <v>23.78</v>
      </c>
      <c r="H15" s="278">
        <v>23.78</v>
      </c>
      <c r="I15" s="278"/>
      <c r="J15" s="278"/>
      <c r="K15" s="278"/>
      <c r="L15" s="24"/>
    </row>
    <row r="16" ht="18.75" customHeight="1" spans="1:12">
      <c r="A16" s="280" t="s">
        <v>45</v>
      </c>
      <c r="B16" s="278">
        <v>7.58</v>
      </c>
      <c r="C16" s="285" t="s">
        <v>81</v>
      </c>
      <c r="D16" s="278">
        <v>1</v>
      </c>
      <c r="E16" s="278">
        <f t="shared" si="3"/>
        <v>6.58</v>
      </c>
      <c r="F16" s="278">
        <f t="shared" si="1"/>
        <v>13.1926121372032</v>
      </c>
      <c r="G16" s="278">
        <f t="shared" si="4"/>
        <v>1</v>
      </c>
      <c r="H16" s="278">
        <v>1</v>
      </c>
      <c r="I16" s="278"/>
      <c r="J16" s="278"/>
      <c r="K16" s="278"/>
      <c r="L16" s="24"/>
    </row>
    <row r="17" ht="18.75" customHeight="1" spans="1:12">
      <c r="A17" s="280" t="s">
        <v>112</v>
      </c>
      <c r="B17" s="278">
        <v>16</v>
      </c>
      <c r="C17" s="285" t="s">
        <v>107</v>
      </c>
      <c r="D17" s="278"/>
      <c r="E17" s="278">
        <f t="shared" si="3"/>
        <v>16</v>
      </c>
      <c r="F17" s="278">
        <f t="shared" si="1"/>
        <v>0</v>
      </c>
      <c r="G17" s="278">
        <f t="shared" si="4"/>
        <v>0</v>
      </c>
      <c r="H17" s="278"/>
      <c r="I17" s="278"/>
      <c r="J17" s="278"/>
      <c r="K17" s="278"/>
      <c r="L17" s="24"/>
    </row>
    <row r="18" ht="18.75" customHeight="1" spans="1:12">
      <c r="A18" s="280" t="s">
        <v>113</v>
      </c>
      <c r="B18" s="278">
        <v>31.8</v>
      </c>
      <c r="C18" s="285" t="s">
        <v>108</v>
      </c>
      <c r="D18" s="278"/>
      <c r="E18" s="278">
        <f t="shared" si="3"/>
        <v>31.8</v>
      </c>
      <c r="F18" s="278">
        <f t="shared" si="1"/>
        <v>0</v>
      </c>
      <c r="G18" s="278">
        <f t="shared" si="4"/>
        <v>0</v>
      </c>
      <c r="H18" s="278"/>
      <c r="I18" s="278"/>
      <c r="J18" s="278"/>
      <c r="K18" s="278"/>
      <c r="L18" s="24"/>
    </row>
    <row r="19" ht="43.5" customHeight="1" spans="1:12">
      <c r="A19" s="280" t="s">
        <v>96</v>
      </c>
      <c r="B19" s="278">
        <v>597.95</v>
      </c>
      <c r="C19" s="285" t="s">
        <v>122</v>
      </c>
      <c r="D19" s="278">
        <f>7+515.74+24.59+31+7.9759</f>
        <v>586.3059</v>
      </c>
      <c r="E19" s="278">
        <f t="shared" si="3"/>
        <v>11.6441</v>
      </c>
      <c r="F19" s="278">
        <f t="shared" si="1"/>
        <v>98.0526632661594</v>
      </c>
      <c r="G19" s="278">
        <f t="shared" si="4"/>
        <v>586.3059</v>
      </c>
      <c r="H19" s="278"/>
      <c r="I19" s="278"/>
      <c r="J19" s="278"/>
      <c r="K19" s="278">
        <f>7+515.74+24.59+31+7.9759</f>
        <v>586.3059</v>
      </c>
      <c r="L19" s="283" t="s">
        <v>123</v>
      </c>
    </row>
    <row r="20" ht="18.75" customHeight="1" spans="1:12">
      <c r="A20" s="280" t="s">
        <v>97</v>
      </c>
      <c r="B20" s="278">
        <f t="shared" ref="B20:K20" si="5">SUM(B21:B22)</f>
        <v>80.61</v>
      </c>
      <c r="C20" s="281"/>
      <c r="D20" s="278">
        <f t="shared" si="5"/>
        <v>80.61</v>
      </c>
      <c r="E20" s="278">
        <f t="shared" si="3"/>
        <v>0</v>
      </c>
      <c r="F20" s="278">
        <f t="shared" si="1"/>
        <v>100</v>
      </c>
      <c r="G20" s="278">
        <f t="shared" si="5"/>
        <v>80.61</v>
      </c>
      <c r="H20" s="278">
        <f t="shared" si="5"/>
        <v>65</v>
      </c>
      <c r="I20" s="278"/>
      <c r="J20" s="278"/>
      <c r="K20" s="278">
        <f t="shared" si="5"/>
        <v>15.61</v>
      </c>
      <c r="L20" s="24"/>
    </row>
    <row r="21" ht="18.75" customHeight="1" spans="1:12">
      <c r="A21" s="280" t="s">
        <v>33</v>
      </c>
      <c r="B21" s="278">
        <v>65</v>
      </c>
      <c r="C21" s="281" t="s">
        <v>71</v>
      </c>
      <c r="D21" s="278">
        <v>65</v>
      </c>
      <c r="E21" s="278">
        <f t="shared" si="3"/>
        <v>0</v>
      </c>
      <c r="F21" s="278">
        <f t="shared" si="1"/>
        <v>100</v>
      </c>
      <c r="G21" s="278">
        <f t="shared" ref="G21:G26" si="6">SUM(H21:K21)</f>
        <v>65</v>
      </c>
      <c r="H21" s="278">
        <v>65</v>
      </c>
      <c r="I21" s="278"/>
      <c r="J21" s="278"/>
      <c r="K21" s="278"/>
      <c r="L21" s="24"/>
    </row>
    <row r="22" ht="18.75" customHeight="1" spans="1:12">
      <c r="A22" s="280" t="s">
        <v>96</v>
      </c>
      <c r="B22" s="278">
        <v>15.61</v>
      </c>
      <c r="C22" s="281" t="s">
        <v>124</v>
      </c>
      <c r="D22" s="278">
        <v>15.61</v>
      </c>
      <c r="E22" s="278">
        <f t="shared" si="3"/>
        <v>0</v>
      </c>
      <c r="F22" s="278">
        <f t="shared" si="1"/>
        <v>100</v>
      </c>
      <c r="G22" s="278">
        <f t="shared" si="6"/>
        <v>15.61</v>
      </c>
      <c r="H22" s="278"/>
      <c r="I22" s="278"/>
      <c r="J22" s="278"/>
      <c r="K22" s="278">
        <v>15.61</v>
      </c>
      <c r="L22" s="24"/>
    </row>
    <row r="23" ht="18.75" customHeight="1" spans="1:12">
      <c r="A23" s="280" t="s">
        <v>98</v>
      </c>
      <c r="B23" s="278">
        <v>20</v>
      </c>
      <c r="C23" s="281" t="s">
        <v>125</v>
      </c>
      <c r="D23" s="278">
        <v>0</v>
      </c>
      <c r="E23" s="278">
        <f t="shared" si="3"/>
        <v>20</v>
      </c>
      <c r="F23" s="278">
        <f t="shared" si="1"/>
        <v>0</v>
      </c>
      <c r="G23" s="278">
        <f t="shared" si="6"/>
        <v>0</v>
      </c>
      <c r="H23" s="278"/>
      <c r="I23" s="278"/>
      <c r="J23" s="278"/>
      <c r="K23" s="278"/>
      <c r="L23" s="24"/>
    </row>
    <row r="24" ht="18.75" customHeight="1" spans="1:12">
      <c r="A24" s="280" t="s">
        <v>99</v>
      </c>
      <c r="B24" s="278">
        <v>40</v>
      </c>
      <c r="C24" s="281" t="s">
        <v>126</v>
      </c>
      <c r="D24" s="278"/>
      <c r="E24" s="278">
        <f t="shared" si="3"/>
        <v>40</v>
      </c>
      <c r="F24" s="278">
        <f t="shared" si="1"/>
        <v>0</v>
      </c>
      <c r="G24" s="278">
        <f t="shared" si="6"/>
        <v>0</v>
      </c>
      <c r="H24" s="278"/>
      <c r="I24" s="278"/>
      <c r="J24" s="278"/>
      <c r="K24" s="278"/>
      <c r="L24" s="24"/>
    </row>
    <row r="25" ht="18.75" customHeight="1" spans="1:12">
      <c r="A25" s="280" t="s">
        <v>100</v>
      </c>
      <c r="B25" s="278">
        <v>1127</v>
      </c>
      <c r="C25" s="285" t="s">
        <v>119</v>
      </c>
      <c r="D25" s="278">
        <v>1127</v>
      </c>
      <c r="E25" s="278">
        <f t="shared" si="3"/>
        <v>0</v>
      </c>
      <c r="F25" s="278">
        <f t="shared" si="1"/>
        <v>100</v>
      </c>
      <c r="G25" s="278">
        <f t="shared" si="6"/>
        <v>1127</v>
      </c>
      <c r="H25" s="278">
        <v>1127</v>
      </c>
      <c r="I25" s="278"/>
      <c r="J25" s="278"/>
      <c r="K25" s="278"/>
      <c r="L25" s="24"/>
    </row>
    <row r="26" ht="18.75" customHeight="1" spans="1:12">
      <c r="A26" s="280" t="s">
        <v>101</v>
      </c>
      <c r="B26" s="278">
        <v>2700</v>
      </c>
      <c r="C26" s="285" t="s">
        <v>119</v>
      </c>
      <c r="D26" s="278">
        <v>2300</v>
      </c>
      <c r="E26" s="278">
        <f t="shared" si="3"/>
        <v>400</v>
      </c>
      <c r="F26" s="278">
        <f t="shared" si="1"/>
        <v>85.1851851851852</v>
      </c>
      <c r="G26" s="278">
        <f t="shared" si="6"/>
        <v>2300</v>
      </c>
      <c r="H26" s="278">
        <v>2300</v>
      </c>
      <c r="I26" s="278"/>
      <c r="J26" s="278"/>
      <c r="K26" s="278"/>
      <c r="L26" s="24"/>
    </row>
    <row r="27" ht="18.75" customHeight="1" spans="1:12">
      <c r="A27" s="286" t="s">
        <v>102</v>
      </c>
      <c r="B27" s="278">
        <f t="shared" ref="B27:J27" si="7">SUM(B28:B31)</f>
        <v>942</v>
      </c>
      <c r="C27" s="278"/>
      <c r="D27" s="278">
        <f t="shared" si="7"/>
        <v>941.3</v>
      </c>
      <c r="E27" s="278">
        <f t="shared" si="3"/>
        <v>0.700000000000045</v>
      </c>
      <c r="F27" s="278">
        <f t="shared" si="1"/>
        <v>99.9256900212314</v>
      </c>
      <c r="G27" s="278">
        <f t="shared" si="7"/>
        <v>941.3</v>
      </c>
      <c r="H27" s="278">
        <f t="shared" si="7"/>
        <v>841.3</v>
      </c>
      <c r="I27" s="278"/>
      <c r="J27" s="278">
        <f t="shared" si="7"/>
        <v>100</v>
      </c>
      <c r="K27" s="278"/>
      <c r="L27" s="24"/>
    </row>
    <row r="28" ht="18.75" customHeight="1" spans="1:12">
      <c r="A28" s="280" t="s">
        <v>33</v>
      </c>
      <c r="B28" s="278">
        <v>176</v>
      </c>
      <c r="C28" s="281" t="s">
        <v>71</v>
      </c>
      <c r="D28" s="278">
        <v>176</v>
      </c>
      <c r="E28" s="278">
        <f t="shared" si="3"/>
        <v>0</v>
      </c>
      <c r="F28" s="278">
        <f t="shared" si="1"/>
        <v>100</v>
      </c>
      <c r="G28" s="278">
        <f>SUM(H28:K28)</f>
        <v>176</v>
      </c>
      <c r="H28" s="278">
        <v>176</v>
      </c>
      <c r="I28" s="278"/>
      <c r="J28" s="278"/>
      <c r="K28" s="278"/>
      <c r="L28" s="24"/>
    </row>
    <row r="29" ht="18.75" customHeight="1" spans="1:12">
      <c r="A29" s="280" t="s">
        <v>38</v>
      </c>
      <c r="B29" s="278">
        <v>166</v>
      </c>
      <c r="C29" s="287" t="s">
        <v>103</v>
      </c>
      <c r="D29" s="278">
        <v>165.3</v>
      </c>
      <c r="E29" s="278">
        <f t="shared" si="3"/>
        <v>0.699999999999989</v>
      </c>
      <c r="F29" s="278">
        <f t="shared" si="1"/>
        <v>99.5783132530121</v>
      </c>
      <c r="G29" s="278">
        <f>SUM(H29:K29)</f>
        <v>165.3</v>
      </c>
      <c r="H29" s="278">
        <v>165.3</v>
      </c>
      <c r="I29" s="278"/>
      <c r="J29" s="278"/>
      <c r="K29" s="278"/>
      <c r="L29" s="24"/>
    </row>
    <row r="30" ht="18.75" customHeight="1" spans="1:12">
      <c r="A30" s="280" t="s">
        <v>37</v>
      </c>
      <c r="B30" s="278">
        <v>100</v>
      </c>
      <c r="C30" s="281" t="s">
        <v>76</v>
      </c>
      <c r="D30" s="278">
        <v>100</v>
      </c>
      <c r="E30" s="278">
        <f t="shared" si="3"/>
        <v>0</v>
      </c>
      <c r="F30" s="278">
        <f t="shared" si="1"/>
        <v>100</v>
      </c>
      <c r="G30" s="278">
        <f>SUM(H30:K30)</f>
        <v>100</v>
      </c>
      <c r="H30" s="278"/>
      <c r="I30" s="278"/>
      <c r="J30" s="278">
        <v>100</v>
      </c>
      <c r="K30" s="278"/>
      <c r="L30" s="24"/>
    </row>
    <row r="31" ht="18.75" customHeight="1" spans="1:12">
      <c r="A31" s="280" t="s">
        <v>41</v>
      </c>
      <c r="B31" s="278">
        <v>500</v>
      </c>
      <c r="C31" s="281" t="s">
        <v>80</v>
      </c>
      <c r="D31" s="278">
        <v>500</v>
      </c>
      <c r="E31" s="278">
        <f t="shared" si="3"/>
        <v>0</v>
      </c>
      <c r="F31" s="278">
        <f t="shared" si="1"/>
        <v>100</v>
      </c>
      <c r="G31" s="278">
        <f>SUM(H31:K31)</f>
        <v>500</v>
      </c>
      <c r="H31" s="278">
        <v>500</v>
      </c>
      <c r="I31" s="278"/>
      <c r="J31" s="278"/>
      <c r="K31" s="278"/>
      <c r="L31" s="24"/>
    </row>
    <row r="32" ht="18.75" customHeight="1" spans="1:12">
      <c r="A32" s="280" t="s">
        <v>27</v>
      </c>
      <c r="B32" s="278">
        <f>B27+B5</f>
        <v>14735.36</v>
      </c>
      <c r="C32" s="278"/>
      <c r="D32" s="278">
        <f t="shared" ref="D32:K32" si="8">D27+D5</f>
        <v>11140.565</v>
      </c>
      <c r="E32" s="278">
        <f t="shared" si="8"/>
        <v>3594.795</v>
      </c>
      <c r="F32" s="278">
        <f t="shared" si="1"/>
        <v>75.604294703353</v>
      </c>
      <c r="G32" s="278">
        <f>G6+G20+G23+G24+G25+G26+G27</f>
        <v>11140.5629</v>
      </c>
      <c r="H32" s="278">
        <f t="shared" si="8"/>
        <v>7918.462</v>
      </c>
      <c r="I32" s="278">
        <f t="shared" si="8"/>
        <v>1986</v>
      </c>
      <c r="J32" s="278">
        <f t="shared" si="8"/>
        <v>585.605</v>
      </c>
      <c r="K32" s="278">
        <f t="shared" si="8"/>
        <v>650.4959</v>
      </c>
      <c r="L32" s="24"/>
    </row>
    <row r="33" spans="1:1">
      <c r="A33" s="288"/>
    </row>
    <row r="34" spans="1:1">
      <c r="A34" s="289"/>
    </row>
  </sheetData>
  <mergeCells count="10">
    <mergeCell ref="A1:K1"/>
    <mergeCell ref="E2:G2"/>
    <mergeCell ref="G3:K3"/>
    <mergeCell ref="A3:A4"/>
    <mergeCell ref="B3:B4"/>
    <mergeCell ref="C3:C4"/>
    <mergeCell ref="D3:D4"/>
    <mergeCell ref="E3:E4"/>
    <mergeCell ref="F3:F4"/>
    <mergeCell ref="L3:L4"/>
  </mergeCells>
  <pageMargins left="0.707638888888889" right="0.707638888888889" top="0.509027777777778" bottom="0.747916666666667" header="0.313888888888889" footer="0.313888888888889"/>
  <pageSetup paperSize="9" scale="7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workbookViewId="0">
      <selection activeCell="N14" sqref="N14"/>
    </sheetView>
  </sheetViews>
  <sheetFormatPr defaultColWidth="9" defaultRowHeight="14.25"/>
  <cols>
    <col min="1" max="1" width="16.3333333333333" customWidth="1"/>
    <col min="2" max="2" width="11.25" customWidth="1"/>
    <col min="3" max="3" width="17" customWidth="1"/>
    <col min="4" max="4" width="14.3333333333333" customWidth="1"/>
    <col min="5" max="5" width="14.0833333333333" customWidth="1"/>
    <col min="6" max="6" width="12.5833333333333" customWidth="1"/>
    <col min="7" max="7" width="13.8333333333333" customWidth="1"/>
    <col min="8" max="8" width="15" customWidth="1"/>
    <col min="9" max="13" width="14" customWidth="1"/>
  </cols>
  <sheetData>
    <row r="1" ht="37.5" customHeight="1" spans="1:14">
      <c r="A1" s="268" t="s">
        <v>89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ht="20.25" customHeight="1" spans="1:13">
      <c r="A2" s="269" t="s">
        <v>118</v>
      </c>
      <c r="B2" s="3"/>
      <c r="C2" s="3"/>
      <c r="D2" s="3"/>
      <c r="E2" s="294">
        <v>43278</v>
      </c>
      <c r="F2" s="294"/>
      <c r="G2" s="294"/>
      <c r="H2" s="294"/>
      <c r="I2" s="294"/>
      <c r="J2" s="3"/>
      <c r="K2" s="291"/>
      <c r="L2" s="16"/>
      <c r="M2" s="16" t="s">
        <v>3</v>
      </c>
    </row>
    <row r="3" spans="1:14">
      <c r="A3" s="271" t="s">
        <v>29</v>
      </c>
      <c r="B3" s="271" t="s">
        <v>91</v>
      </c>
      <c r="C3" s="271" t="s">
        <v>62</v>
      </c>
      <c r="D3" s="295" t="s">
        <v>127</v>
      </c>
      <c r="E3" s="272" t="s">
        <v>128</v>
      </c>
      <c r="F3" s="295" t="s">
        <v>129</v>
      </c>
      <c r="G3" s="271" t="s">
        <v>57</v>
      </c>
      <c r="H3" s="272" t="s">
        <v>7</v>
      </c>
      <c r="I3" s="271" t="s">
        <v>65</v>
      </c>
      <c r="J3" s="271"/>
      <c r="K3" s="271"/>
      <c r="L3" s="271"/>
      <c r="M3" s="271"/>
      <c r="N3" s="272" t="s">
        <v>52</v>
      </c>
    </row>
    <row r="4" spans="1:14">
      <c r="A4" s="271"/>
      <c r="B4" s="271"/>
      <c r="C4" s="271"/>
      <c r="D4" s="296"/>
      <c r="E4" s="272"/>
      <c r="F4" s="297"/>
      <c r="G4" s="271"/>
      <c r="H4" s="272"/>
      <c r="I4" s="271" t="s">
        <v>66</v>
      </c>
      <c r="J4" s="271" t="s">
        <v>67</v>
      </c>
      <c r="K4" s="271" t="s">
        <v>92</v>
      </c>
      <c r="L4" s="272" t="s">
        <v>69</v>
      </c>
      <c r="M4" s="271" t="s">
        <v>70</v>
      </c>
      <c r="N4" s="272"/>
    </row>
    <row r="5" ht="18.75" customHeight="1" spans="1:14">
      <c r="A5" s="275" t="s">
        <v>93</v>
      </c>
      <c r="B5" s="276">
        <f>SUM(B6,B20,B23,B24,B25,B26)</f>
        <v>13793.36</v>
      </c>
      <c r="C5" s="276"/>
      <c r="D5" s="276">
        <f>D6+D20+D23+D24+D25+D26</f>
        <v>9655.352</v>
      </c>
      <c r="E5" s="276">
        <f t="shared" ref="E5:M5" si="0">SUM(E6,E20,E23,E24,E25,E26)</f>
        <v>10199.265</v>
      </c>
      <c r="F5" s="276">
        <f>E5-D5</f>
        <v>543.913000000002</v>
      </c>
      <c r="G5" s="276">
        <f t="shared" si="0"/>
        <v>3594.095</v>
      </c>
      <c r="H5" s="278">
        <f t="shared" ref="H5:H32" si="1">E5/B5*100</f>
        <v>73.9432959046962</v>
      </c>
      <c r="I5" s="276">
        <f t="shared" si="0"/>
        <v>10199.2629</v>
      </c>
      <c r="J5" s="276">
        <f t="shared" si="0"/>
        <v>7077.162</v>
      </c>
      <c r="K5" s="276">
        <f t="shared" si="0"/>
        <v>1986</v>
      </c>
      <c r="L5" s="276">
        <f t="shared" si="0"/>
        <v>485.605</v>
      </c>
      <c r="M5" s="276">
        <f t="shared" si="0"/>
        <v>650.4959</v>
      </c>
      <c r="N5" s="24"/>
    </row>
    <row r="6" ht="18.75" customHeight="1" spans="1:14">
      <c r="A6" s="279" t="s">
        <v>94</v>
      </c>
      <c r="B6" s="276">
        <f t="shared" ref="B6:M6" si="2">SUM(B7:B19)</f>
        <v>9825.75</v>
      </c>
      <c r="C6" s="276"/>
      <c r="D6" s="276">
        <f>SUM(D7:D19)</f>
        <v>6878.025</v>
      </c>
      <c r="E6" s="276">
        <f t="shared" si="2"/>
        <v>6691.655</v>
      </c>
      <c r="F6" s="276">
        <f t="shared" ref="F6:F32" si="3">E6-D6</f>
        <v>-186.369999999998</v>
      </c>
      <c r="G6" s="276">
        <f t="shared" si="2"/>
        <v>3134.095</v>
      </c>
      <c r="H6" s="278">
        <f t="shared" si="1"/>
        <v>68.1032491158436</v>
      </c>
      <c r="I6" s="276">
        <f t="shared" si="2"/>
        <v>6691.6529</v>
      </c>
      <c r="J6" s="276">
        <f t="shared" si="2"/>
        <v>3585.162</v>
      </c>
      <c r="K6" s="276">
        <f t="shared" si="2"/>
        <v>1986</v>
      </c>
      <c r="L6" s="276">
        <f t="shared" si="2"/>
        <v>485.605</v>
      </c>
      <c r="M6" s="276">
        <f t="shared" si="2"/>
        <v>634.8859</v>
      </c>
      <c r="N6" s="24"/>
    </row>
    <row r="7" ht="18.75" customHeight="1" spans="1:14">
      <c r="A7" s="280" t="s">
        <v>33</v>
      </c>
      <c r="B7" s="278">
        <f>1454.26+664</f>
        <v>2118.26</v>
      </c>
      <c r="C7" s="281" t="s">
        <v>71</v>
      </c>
      <c r="D7" s="281">
        <f>B7*0.7</f>
        <v>1482.782</v>
      </c>
      <c r="E7" s="278">
        <f>2141.055+6.3-65+8.227</f>
        <v>2090.582</v>
      </c>
      <c r="F7" s="276">
        <f t="shared" si="3"/>
        <v>607.8</v>
      </c>
      <c r="G7" s="278">
        <f t="shared" ref="G7:G31" si="4">B7-E7</f>
        <v>27.6780000000003</v>
      </c>
      <c r="H7" s="278">
        <f t="shared" si="1"/>
        <v>98.6933615325786</v>
      </c>
      <c r="I7" s="278">
        <f t="shared" ref="I7:I19" si="5">SUM(J7:M7)</f>
        <v>2090.582</v>
      </c>
      <c r="J7" s="278">
        <v>2090.582</v>
      </c>
      <c r="K7" s="278"/>
      <c r="L7" s="298"/>
      <c r="M7" s="278"/>
      <c r="N7" s="24"/>
    </row>
    <row r="8" ht="18.75" customHeight="1" spans="1:14">
      <c r="A8" s="280" t="s">
        <v>34</v>
      </c>
      <c r="B8" s="278">
        <v>5</v>
      </c>
      <c r="C8" s="281" t="s">
        <v>73</v>
      </c>
      <c r="D8" s="281">
        <f t="shared" ref="D8:D32" si="6">B8*0.7</f>
        <v>3.5</v>
      </c>
      <c r="E8" s="278">
        <v>4.4721</v>
      </c>
      <c r="F8" s="276">
        <f t="shared" si="3"/>
        <v>0.9721</v>
      </c>
      <c r="G8" s="278">
        <f t="shared" si="4"/>
        <v>0.5279</v>
      </c>
      <c r="H8" s="278">
        <f t="shared" si="1"/>
        <v>89.442</v>
      </c>
      <c r="I8" s="278">
        <f t="shared" si="5"/>
        <v>4.47</v>
      </c>
      <c r="J8" s="278"/>
      <c r="K8" s="278"/>
      <c r="L8" s="278">
        <v>4.47</v>
      </c>
      <c r="M8" s="278"/>
      <c r="N8" s="24"/>
    </row>
    <row r="9" ht="18.75" customHeight="1" spans="1:14">
      <c r="A9" s="280" t="s">
        <v>35</v>
      </c>
      <c r="B9" s="278">
        <f>3215.2-230</f>
        <v>2985.2</v>
      </c>
      <c r="C9" s="281" t="s">
        <v>68</v>
      </c>
      <c r="D9" s="281">
        <f t="shared" si="6"/>
        <v>2089.64</v>
      </c>
      <c r="E9" s="278">
        <v>1986</v>
      </c>
      <c r="F9" s="276">
        <f t="shared" si="3"/>
        <v>-103.64</v>
      </c>
      <c r="G9" s="278">
        <f t="shared" si="4"/>
        <v>999.2</v>
      </c>
      <c r="H9" s="278">
        <f t="shared" si="1"/>
        <v>66.5282058153558</v>
      </c>
      <c r="I9" s="278">
        <f t="shared" si="5"/>
        <v>1986</v>
      </c>
      <c r="J9" s="278"/>
      <c r="K9" s="278">
        <v>1986</v>
      </c>
      <c r="L9" s="278"/>
      <c r="M9" s="278"/>
      <c r="N9" s="24"/>
    </row>
    <row r="10" ht="37.5" customHeight="1" spans="1:14">
      <c r="A10" s="280" t="s">
        <v>36</v>
      </c>
      <c r="B10" s="278">
        <v>481</v>
      </c>
      <c r="C10" s="283" t="s">
        <v>75</v>
      </c>
      <c r="D10" s="281">
        <f t="shared" si="6"/>
        <v>336.7</v>
      </c>
      <c r="E10" s="278">
        <f>311.85+12.73+8.25</f>
        <v>332.83</v>
      </c>
      <c r="F10" s="276">
        <f t="shared" si="3"/>
        <v>-3.86999999999995</v>
      </c>
      <c r="G10" s="278">
        <f t="shared" si="4"/>
        <v>148.17</v>
      </c>
      <c r="H10" s="278">
        <f t="shared" si="1"/>
        <v>69.1954261954262</v>
      </c>
      <c r="I10" s="278">
        <f t="shared" si="5"/>
        <v>332.83</v>
      </c>
      <c r="J10" s="298"/>
      <c r="K10" s="278"/>
      <c r="L10" s="278">
        <f>279+5.25</f>
        <v>284.25</v>
      </c>
      <c r="M10" s="278">
        <f>18.85+14+12.73+3</f>
        <v>48.58</v>
      </c>
      <c r="N10" s="24"/>
    </row>
    <row r="11" ht="18.75" customHeight="1" spans="1:14">
      <c r="A11" s="280" t="s">
        <v>37</v>
      </c>
      <c r="B11" s="278">
        <v>574.9</v>
      </c>
      <c r="C11" s="281" t="s">
        <v>76</v>
      </c>
      <c r="D11" s="281">
        <f t="shared" si="6"/>
        <v>402.43</v>
      </c>
      <c r="E11" s="278">
        <f>160+36.885</f>
        <v>196.885</v>
      </c>
      <c r="F11" s="276">
        <f t="shared" si="3"/>
        <v>-205.545</v>
      </c>
      <c r="G11" s="278">
        <f t="shared" si="4"/>
        <v>378.015</v>
      </c>
      <c r="H11" s="278">
        <f t="shared" si="1"/>
        <v>34.2468255348756</v>
      </c>
      <c r="I11" s="278">
        <f t="shared" si="5"/>
        <v>196.885</v>
      </c>
      <c r="J11" s="278"/>
      <c r="K11" s="278"/>
      <c r="L11" s="278">
        <f>160+36.885</f>
        <v>196.885</v>
      </c>
      <c r="M11" s="278"/>
      <c r="N11" s="24"/>
    </row>
    <row r="12" ht="35.25" customHeight="1" spans="1:14">
      <c r="A12" s="280" t="s">
        <v>38</v>
      </c>
      <c r="B12" s="278">
        <f>1132.83-30</f>
        <v>1102.83</v>
      </c>
      <c r="C12" s="283" t="s">
        <v>95</v>
      </c>
      <c r="D12" s="281">
        <f t="shared" si="6"/>
        <v>771.981</v>
      </c>
      <c r="E12" s="278">
        <f>297.19+3.12</f>
        <v>300.31</v>
      </c>
      <c r="F12" s="276">
        <f t="shared" si="3"/>
        <v>-471.671</v>
      </c>
      <c r="G12" s="278">
        <f t="shared" si="4"/>
        <v>802.52</v>
      </c>
      <c r="H12" s="278">
        <f t="shared" si="1"/>
        <v>27.2308515365016</v>
      </c>
      <c r="I12" s="278">
        <f t="shared" si="5"/>
        <v>300.31</v>
      </c>
      <c r="J12" s="278">
        <f>297.19+3.12</f>
        <v>300.31</v>
      </c>
      <c r="K12" s="278"/>
      <c r="L12" s="278"/>
      <c r="M12" s="278"/>
      <c r="N12" s="24"/>
    </row>
    <row r="13" ht="18.75" customHeight="1" spans="1:14">
      <c r="A13" s="280" t="s">
        <v>39</v>
      </c>
      <c r="B13" s="278">
        <v>78.87</v>
      </c>
      <c r="C13" s="281" t="s">
        <v>78</v>
      </c>
      <c r="D13" s="281">
        <f t="shared" si="6"/>
        <v>55.209</v>
      </c>
      <c r="E13" s="278">
        <v>74.005</v>
      </c>
      <c r="F13" s="276">
        <f t="shared" si="3"/>
        <v>18.796</v>
      </c>
      <c r="G13" s="278">
        <f t="shared" si="4"/>
        <v>4.86500000000001</v>
      </c>
      <c r="H13" s="278">
        <f t="shared" si="1"/>
        <v>93.8316216558894</v>
      </c>
      <c r="I13" s="278">
        <f t="shared" si="5"/>
        <v>74.005</v>
      </c>
      <c r="J13" s="278">
        <v>74.005</v>
      </c>
      <c r="K13" s="278"/>
      <c r="L13" s="278"/>
      <c r="M13" s="278"/>
      <c r="N13" s="24"/>
    </row>
    <row r="14" ht="18.75" customHeight="1" spans="1:14">
      <c r="A14" s="280" t="s">
        <v>41</v>
      </c>
      <c r="B14" s="278">
        <v>1738.17</v>
      </c>
      <c r="C14" s="281" t="s">
        <v>80</v>
      </c>
      <c r="D14" s="281">
        <f t="shared" si="6"/>
        <v>1216.719</v>
      </c>
      <c r="E14" s="278">
        <f>115.155+62.63+912+5.7</f>
        <v>1095.485</v>
      </c>
      <c r="F14" s="276">
        <f t="shared" si="3"/>
        <v>-121.234</v>
      </c>
      <c r="G14" s="278">
        <f t="shared" si="4"/>
        <v>642.685</v>
      </c>
      <c r="H14" s="278">
        <f t="shared" si="1"/>
        <v>63.0251931629242</v>
      </c>
      <c r="I14" s="278">
        <f t="shared" si="5"/>
        <v>1095.485</v>
      </c>
      <c r="J14" s="278">
        <f>115.155+62.63+912+5.7</f>
        <v>1095.485</v>
      </c>
      <c r="K14" s="278"/>
      <c r="L14" s="278"/>
      <c r="N14" s="24"/>
    </row>
    <row r="15" ht="18.75" customHeight="1" spans="1:14">
      <c r="A15" s="280" t="s">
        <v>42</v>
      </c>
      <c r="B15" s="278">
        <v>88.19</v>
      </c>
      <c r="C15" s="285" t="s">
        <v>81</v>
      </c>
      <c r="D15" s="281">
        <f t="shared" si="6"/>
        <v>61.733</v>
      </c>
      <c r="E15" s="278">
        <v>23.78</v>
      </c>
      <c r="F15" s="276">
        <f t="shared" si="3"/>
        <v>-37.953</v>
      </c>
      <c r="G15" s="278">
        <f t="shared" si="4"/>
        <v>64.41</v>
      </c>
      <c r="H15" s="278">
        <f t="shared" si="1"/>
        <v>26.9645084476698</v>
      </c>
      <c r="I15" s="278">
        <f t="shared" si="5"/>
        <v>23.78</v>
      </c>
      <c r="J15" s="278">
        <v>23.78</v>
      </c>
      <c r="K15" s="278"/>
      <c r="L15" s="278"/>
      <c r="M15" s="278"/>
      <c r="N15" s="24"/>
    </row>
    <row r="16" ht="18.75" customHeight="1" spans="1:14">
      <c r="A16" s="280" t="s">
        <v>45</v>
      </c>
      <c r="B16" s="278">
        <v>7.58</v>
      </c>
      <c r="C16" s="285" t="s">
        <v>81</v>
      </c>
      <c r="D16" s="281">
        <f t="shared" si="6"/>
        <v>5.306</v>
      </c>
      <c r="E16" s="278">
        <v>1</v>
      </c>
      <c r="F16" s="276">
        <f t="shared" si="3"/>
        <v>-4.306</v>
      </c>
      <c r="G16" s="278">
        <f t="shared" si="4"/>
        <v>6.58</v>
      </c>
      <c r="H16" s="278">
        <f t="shared" si="1"/>
        <v>13.1926121372032</v>
      </c>
      <c r="I16" s="278">
        <f t="shared" si="5"/>
        <v>1</v>
      </c>
      <c r="J16" s="278">
        <v>1</v>
      </c>
      <c r="K16" s="278"/>
      <c r="L16" s="278"/>
      <c r="M16" s="278"/>
      <c r="N16" s="24"/>
    </row>
    <row r="17" ht="18.75" customHeight="1" spans="1:14">
      <c r="A17" s="280" t="s">
        <v>112</v>
      </c>
      <c r="B17" s="278">
        <v>16</v>
      </c>
      <c r="C17" s="285" t="s">
        <v>107</v>
      </c>
      <c r="D17" s="281">
        <f t="shared" si="6"/>
        <v>11.2</v>
      </c>
      <c r="E17" s="278"/>
      <c r="F17" s="276">
        <f t="shared" si="3"/>
        <v>-11.2</v>
      </c>
      <c r="G17" s="278">
        <f t="shared" si="4"/>
        <v>16</v>
      </c>
      <c r="H17" s="278">
        <f t="shared" si="1"/>
        <v>0</v>
      </c>
      <c r="I17" s="278">
        <f t="shared" si="5"/>
        <v>0</v>
      </c>
      <c r="J17" s="278"/>
      <c r="K17" s="278"/>
      <c r="L17" s="278"/>
      <c r="M17" s="278"/>
      <c r="N17" s="24"/>
    </row>
    <row r="18" ht="18.75" customHeight="1" spans="1:14">
      <c r="A18" s="280" t="s">
        <v>113</v>
      </c>
      <c r="B18" s="278">
        <v>31.8</v>
      </c>
      <c r="C18" s="285" t="s">
        <v>108</v>
      </c>
      <c r="D18" s="281">
        <f t="shared" si="6"/>
        <v>22.26</v>
      </c>
      <c r="E18" s="278"/>
      <c r="F18" s="276">
        <f t="shared" si="3"/>
        <v>-22.26</v>
      </c>
      <c r="G18" s="278">
        <f t="shared" si="4"/>
        <v>31.8</v>
      </c>
      <c r="H18" s="278">
        <f t="shared" si="1"/>
        <v>0</v>
      </c>
      <c r="I18" s="278">
        <f t="shared" si="5"/>
        <v>0</v>
      </c>
      <c r="J18" s="278"/>
      <c r="K18" s="278"/>
      <c r="L18" s="278"/>
      <c r="M18" s="278"/>
      <c r="N18" s="24"/>
    </row>
    <row r="19" ht="43.5" customHeight="1" spans="1:14">
      <c r="A19" s="280" t="s">
        <v>96</v>
      </c>
      <c r="B19" s="278">
        <v>597.95</v>
      </c>
      <c r="C19" s="285" t="s">
        <v>122</v>
      </c>
      <c r="D19" s="281">
        <f t="shared" si="6"/>
        <v>418.565</v>
      </c>
      <c r="E19" s="278">
        <f>7+515.74+24.59+31+7.9759</f>
        <v>586.3059</v>
      </c>
      <c r="F19" s="276">
        <f t="shared" si="3"/>
        <v>167.7409</v>
      </c>
      <c r="G19" s="278">
        <f t="shared" si="4"/>
        <v>11.6441</v>
      </c>
      <c r="H19" s="278">
        <f t="shared" si="1"/>
        <v>98.0526632661594</v>
      </c>
      <c r="I19" s="278">
        <f t="shared" si="5"/>
        <v>586.3059</v>
      </c>
      <c r="J19" s="278"/>
      <c r="K19" s="278"/>
      <c r="L19" s="278"/>
      <c r="M19" s="278">
        <f>7+515.74+24.59+31+7.9759</f>
        <v>586.3059</v>
      </c>
      <c r="N19" s="283" t="s">
        <v>123</v>
      </c>
    </row>
    <row r="20" ht="18.75" customHeight="1" spans="1:14">
      <c r="A20" s="280" t="s">
        <v>97</v>
      </c>
      <c r="B20" s="278">
        <f>SUM(B21:B22)</f>
        <v>80.61</v>
      </c>
      <c r="C20" s="281"/>
      <c r="D20" s="281">
        <f t="shared" si="6"/>
        <v>56.427</v>
      </c>
      <c r="E20" s="278">
        <f>SUM(E21:E22)</f>
        <v>80.61</v>
      </c>
      <c r="F20" s="276">
        <f t="shared" si="3"/>
        <v>24.183</v>
      </c>
      <c r="G20" s="278">
        <f t="shared" si="4"/>
        <v>0</v>
      </c>
      <c r="H20" s="278">
        <f t="shared" si="1"/>
        <v>100</v>
      </c>
      <c r="I20" s="278">
        <f>SUM(I21:I22)</f>
        <v>80.61</v>
      </c>
      <c r="J20" s="278">
        <f>SUM(J21:J22)</f>
        <v>65</v>
      </c>
      <c r="K20" s="278"/>
      <c r="L20" s="278"/>
      <c r="M20" s="278">
        <f>SUM(M21:M22)</f>
        <v>15.61</v>
      </c>
      <c r="N20" s="24"/>
    </row>
    <row r="21" ht="18.75" customHeight="1" spans="1:14">
      <c r="A21" s="280" t="s">
        <v>33</v>
      </c>
      <c r="B21" s="278">
        <v>65</v>
      </c>
      <c r="C21" s="281" t="s">
        <v>71</v>
      </c>
      <c r="D21" s="281">
        <f t="shared" si="6"/>
        <v>45.5</v>
      </c>
      <c r="E21" s="278">
        <v>65</v>
      </c>
      <c r="F21" s="276">
        <f t="shared" si="3"/>
        <v>19.5</v>
      </c>
      <c r="G21" s="278">
        <f t="shared" si="4"/>
        <v>0</v>
      </c>
      <c r="H21" s="278">
        <f t="shared" si="1"/>
        <v>100</v>
      </c>
      <c r="I21" s="278">
        <f t="shared" ref="I21:I26" si="7">SUM(J21:M21)</f>
        <v>65</v>
      </c>
      <c r="J21" s="278">
        <v>65</v>
      </c>
      <c r="K21" s="278"/>
      <c r="L21" s="278"/>
      <c r="M21" s="278"/>
      <c r="N21" s="24"/>
    </row>
    <row r="22" ht="18.75" customHeight="1" spans="1:14">
      <c r="A22" s="280" t="s">
        <v>96</v>
      </c>
      <c r="B22" s="278">
        <v>15.61</v>
      </c>
      <c r="C22" s="281" t="s">
        <v>124</v>
      </c>
      <c r="D22" s="281">
        <f t="shared" si="6"/>
        <v>10.927</v>
      </c>
      <c r="E22" s="278">
        <v>15.61</v>
      </c>
      <c r="F22" s="276">
        <f t="shared" si="3"/>
        <v>4.683</v>
      </c>
      <c r="G22" s="278">
        <f t="shared" si="4"/>
        <v>0</v>
      </c>
      <c r="H22" s="278">
        <f t="shared" si="1"/>
        <v>100</v>
      </c>
      <c r="I22" s="278">
        <f t="shared" si="7"/>
        <v>15.61</v>
      </c>
      <c r="J22" s="278"/>
      <c r="K22" s="278"/>
      <c r="L22" s="278"/>
      <c r="M22" s="278">
        <v>15.61</v>
      </c>
      <c r="N22" s="24"/>
    </row>
    <row r="23" ht="18.75" customHeight="1" spans="1:14">
      <c r="A23" s="280" t="s">
        <v>98</v>
      </c>
      <c r="B23" s="278">
        <v>20</v>
      </c>
      <c r="C23" s="281" t="s">
        <v>125</v>
      </c>
      <c r="D23" s="281">
        <f t="shared" si="6"/>
        <v>14</v>
      </c>
      <c r="E23" s="278">
        <v>0</v>
      </c>
      <c r="F23" s="276">
        <f t="shared" si="3"/>
        <v>-14</v>
      </c>
      <c r="G23" s="278">
        <f t="shared" si="4"/>
        <v>20</v>
      </c>
      <c r="H23" s="278">
        <f t="shared" si="1"/>
        <v>0</v>
      </c>
      <c r="I23" s="278">
        <f t="shared" si="7"/>
        <v>0</v>
      </c>
      <c r="J23" s="278"/>
      <c r="K23" s="278"/>
      <c r="L23" s="278"/>
      <c r="M23" s="278"/>
      <c r="N23" s="24"/>
    </row>
    <row r="24" ht="18.75" customHeight="1" spans="1:14">
      <c r="A24" s="280" t="s">
        <v>99</v>
      </c>
      <c r="B24" s="278">
        <v>40</v>
      </c>
      <c r="C24" s="281" t="s">
        <v>126</v>
      </c>
      <c r="D24" s="281">
        <f t="shared" si="6"/>
        <v>28</v>
      </c>
      <c r="E24" s="278"/>
      <c r="F24" s="276">
        <f t="shared" si="3"/>
        <v>-28</v>
      </c>
      <c r="G24" s="278">
        <f t="shared" si="4"/>
        <v>40</v>
      </c>
      <c r="H24" s="278">
        <f t="shared" si="1"/>
        <v>0</v>
      </c>
      <c r="I24" s="278">
        <f t="shared" si="7"/>
        <v>0</v>
      </c>
      <c r="J24" s="278"/>
      <c r="K24" s="278"/>
      <c r="L24" s="278"/>
      <c r="M24" s="278"/>
      <c r="N24" s="24"/>
    </row>
    <row r="25" ht="18.75" customHeight="1" spans="1:14">
      <c r="A25" s="280" t="s">
        <v>100</v>
      </c>
      <c r="B25" s="278">
        <v>1127</v>
      </c>
      <c r="C25" s="285" t="s">
        <v>119</v>
      </c>
      <c r="D25" s="281">
        <f t="shared" si="6"/>
        <v>788.9</v>
      </c>
      <c r="E25" s="278">
        <v>1127</v>
      </c>
      <c r="F25" s="276">
        <f t="shared" si="3"/>
        <v>338.1</v>
      </c>
      <c r="G25" s="278">
        <f t="shared" si="4"/>
        <v>0</v>
      </c>
      <c r="H25" s="278">
        <f t="shared" si="1"/>
        <v>100</v>
      </c>
      <c r="I25" s="278">
        <f t="shared" si="7"/>
        <v>1127</v>
      </c>
      <c r="J25" s="278">
        <v>1127</v>
      </c>
      <c r="K25" s="278"/>
      <c r="L25" s="278"/>
      <c r="M25" s="278"/>
      <c r="N25" s="24"/>
    </row>
    <row r="26" ht="18.75" customHeight="1" spans="1:14">
      <c r="A26" s="280" t="s">
        <v>101</v>
      </c>
      <c r="B26" s="278">
        <v>2700</v>
      </c>
      <c r="C26" s="285" t="s">
        <v>119</v>
      </c>
      <c r="D26" s="281">
        <f t="shared" si="6"/>
        <v>1890</v>
      </c>
      <c r="E26" s="278">
        <v>2300</v>
      </c>
      <c r="F26" s="276">
        <f t="shared" si="3"/>
        <v>410</v>
      </c>
      <c r="G26" s="278">
        <f t="shared" si="4"/>
        <v>400</v>
      </c>
      <c r="H26" s="278">
        <f t="shared" si="1"/>
        <v>85.1851851851852</v>
      </c>
      <c r="I26" s="278">
        <f t="shared" si="7"/>
        <v>2300</v>
      </c>
      <c r="J26" s="278">
        <v>2300</v>
      </c>
      <c r="K26" s="278"/>
      <c r="L26" s="278"/>
      <c r="M26" s="278"/>
      <c r="N26" s="24"/>
    </row>
    <row r="27" ht="18.75" customHeight="1" spans="1:14">
      <c r="A27" s="286" t="s">
        <v>102</v>
      </c>
      <c r="B27" s="278">
        <f t="shared" ref="B27:L27" si="8">SUM(B28:B31)</f>
        <v>942</v>
      </c>
      <c r="C27" s="278"/>
      <c r="D27" s="281">
        <f t="shared" si="6"/>
        <v>659.4</v>
      </c>
      <c r="E27" s="278">
        <f t="shared" si="8"/>
        <v>941.3</v>
      </c>
      <c r="F27" s="276">
        <f t="shared" si="3"/>
        <v>281.9</v>
      </c>
      <c r="G27" s="278">
        <f t="shared" si="4"/>
        <v>0.700000000000045</v>
      </c>
      <c r="H27" s="278">
        <f t="shared" si="1"/>
        <v>99.9256900212314</v>
      </c>
      <c r="I27" s="278">
        <f t="shared" si="8"/>
        <v>941.3</v>
      </c>
      <c r="J27" s="278">
        <f t="shared" si="8"/>
        <v>841.3</v>
      </c>
      <c r="K27" s="278"/>
      <c r="L27" s="278">
        <f t="shared" si="8"/>
        <v>100</v>
      </c>
      <c r="M27" s="278"/>
      <c r="N27" s="24"/>
    </row>
    <row r="28" ht="18.75" customHeight="1" spans="1:14">
      <c r="A28" s="280" t="s">
        <v>33</v>
      </c>
      <c r="B28" s="278">
        <v>176</v>
      </c>
      <c r="C28" s="281" t="s">
        <v>71</v>
      </c>
      <c r="D28" s="281">
        <f t="shared" si="6"/>
        <v>123.2</v>
      </c>
      <c r="E28" s="278">
        <v>176</v>
      </c>
      <c r="F28" s="276">
        <f t="shared" si="3"/>
        <v>52.8</v>
      </c>
      <c r="G28" s="278">
        <f t="shared" si="4"/>
        <v>0</v>
      </c>
      <c r="H28" s="278">
        <f t="shared" si="1"/>
        <v>100</v>
      </c>
      <c r="I28" s="278">
        <f>SUM(J28:M28)</f>
        <v>176</v>
      </c>
      <c r="J28" s="278">
        <v>176</v>
      </c>
      <c r="K28" s="278"/>
      <c r="L28" s="278"/>
      <c r="M28" s="278"/>
      <c r="N28" s="24"/>
    </row>
    <row r="29" ht="18.75" customHeight="1" spans="1:14">
      <c r="A29" s="280" t="s">
        <v>38</v>
      </c>
      <c r="B29" s="278">
        <v>166</v>
      </c>
      <c r="C29" s="287" t="s">
        <v>103</v>
      </c>
      <c r="D29" s="281">
        <f t="shared" si="6"/>
        <v>116.2</v>
      </c>
      <c r="E29" s="278">
        <v>165.3</v>
      </c>
      <c r="F29" s="276">
        <f t="shared" si="3"/>
        <v>49.1</v>
      </c>
      <c r="G29" s="278">
        <f t="shared" si="4"/>
        <v>0.699999999999989</v>
      </c>
      <c r="H29" s="278">
        <f t="shared" si="1"/>
        <v>99.5783132530121</v>
      </c>
      <c r="I29" s="278">
        <f>SUM(J29:M29)</f>
        <v>165.3</v>
      </c>
      <c r="J29" s="278">
        <v>165.3</v>
      </c>
      <c r="K29" s="278"/>
      <c r="L29" s="278"/>
      <c r="M29" s="278"/>
      <c r="N29" s="24"/>
    </row>
    <row r="30" ht="18.75" customHeight="1" spans="1:14">
      <c r="A30" s="280" t="s">
        <v>37</v>
      </c>
      <c r="B30" s="278">
        <v>100</v>
      </c>
      <c r="C30" s="281" t="s">
        <v>76</v>
      </c>
      <c r="D30" s="281">
        <f t="shared" si="6"/>
        <v>70</v>
      </c>
      <c r="E30" s="278">
        <v>100</v>
      </c>
      <c r="F30" s="276">
        <f t="shared" si="3"/>
        <v>30</v>
      </c>
      <c r="G30" s="278">
        <f t="shared" si="4"/>
        <v>0</v>
      </c>
      <c r="H30" s="278">
        <f t="shared" si="1"/>
        <v>100</v>
      </c>
      <c r="I30" s="278">
        <f>SUM(J30:M30)</f>
        <v>100</v>
      </c>
      <c r="J30" s="278"/>
      <c r="K30" s="278"/>
      <c r="L30" s="278">
        <v>100</v>
      </c>
      <c r="M30" s="278"/>
      <c r="N30" s="24"/>
    </row>
    <row r="31" ht="18.75" customHeight="1" spans="1:14">
      <c r="A31" s="280" t="s">
        <v>41</v>
      </c>
      <c r="B31" s="278">
        <v>500</v>
      </c>
      <c r="C31" s="281" t="s">
        <v>80</v>
      </c>
      <c r="D31" s="281">
        <f t="shared" si="6"/>
        <v>350</v>
      </c>
      <c r="E31" s="278">
        <v>500</v>
      </c>
      <c r="F31" s="276">
        <f t="shared" si="3"/>
        <v>150</v>
      </c>
      <c r="G31" s="278">
        <f t="shared" si="4"/>
        <v>0</v>
      </c>
      <c r="H31" s="278">
        <f t="shared" si="1"/>
        <v>100</v>
      </c>
      <c r="I31" s="278">
        <f>SUM(J31:M31)</f>
        <v>500</v>
      </c>
      <c r="J31" s="278">
        <v>500</v>
      </c>
      <c r="K31" s="278"/>
      <c r="L31" s="278"/>
      <c r="M31" s="278"/>
      <c r="N31" s="24"/>
    </row>
    <row r="32" ht="18.75" customHeight="1" spans="1:14">
      <c r="A32" s="280" t="s">
        <v>27</v>
      </c>
      <c r="B32" s="278">
        <f>B27+B5</f>
        <v>14735.36</v>
      </c>
      <c r="C32" s="278"/>
      <c r="D32" s="281">
        <f t="shared" si="6"/>
        <v>10314.752</v>
      </c>
      <c r="E32" s="278">
        <f t="shared" ref="E32:M32" si="9">E27+E5</f>
        <v>11140.565</v>
      </c>
      <c r="F32" s="276">
        <f t="shared" si="3"/>
        <v>825.812999999998</v>
      </c>
      <c r="G32" s="278">
        <f t="shared" si="9"/>
        <v>3594.795</v>
      </c>
      <c r="H32" s="278">
        <f t="shared" si="1"/>
        <v>75.604294703353</v>
      </c>
      <c r="I32" s="278">
        <f>I6+I20+I23+I24+I25+I26+I27</f>
        <v>11140.5629</v>
      </c>
      <c r="J32" s="278">
        <f t="shared" si="9"/>
        <v>7918.462</v>
      </c>
      <c r="K32" s="278">
        <f t="shared" si="9"/>
        <v>1986</v>
      </c>
      <c r="L32" s="278">
        <f t="shared" si="9"/>
        <v>585.605</v>
      </c>
      <c r="M32" s="278">
        <f t="shared" si="9"/>
        <v>650.4959</v>
      </c>
      <c r="N32" s="24"/>
    </row>
    <row r="33" spans="1:2">
      <c r="A33" s="288"/>
      <c r="B33" s="22" t="s">
        <v>130</v>
      </c>
    </row>
    <row r="34" spans="1:1">
      <c r="A34" s="289"/>
    </row>
  </sheetData>
  <mergeCells count="12">
    <mergeCell ref="A1:N1"/>
    <mergeCell ref="E2:I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</mergeCells>
  <pageMargins left="0.45" right="0.259027777777778" top="0.747916666666667" bottom="0.747916666666667" header="0.313888888888889" footer="0.313888888888889"/>
  <pageSetup paperSize="9" scale="6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opLeftCell="B1" workbookViewId="0">
      <selection activeCell="N14" sqref="N14"/>
    </sheetView>
  </sheetViews>
  <sheetFormatPr defaultColWidth="9" defaultRowHeight="14.25"/>
  <cols>
    <col min="1" max="1" width="17.0833333333333" customWidth="1"/>
    <col min="2" max="2" width="13.5" customWidth="1"/>
    <col min="3" max="3" width="17.75" customWidth="1"/>
    <col min="4" max="4" width="13.5" customWidth="1"/>
    <col min="5" max="5" width="13.8333333333333" customWidth="1"/>
    <col min="6" max="6" width="15" customWidth="1"/>
    <col min="7" max="12" width="14" customWidth="1"/>
  </cols>
  <sheetData>
    <row r="1" ht="37.5" customHeight="1" spans="1:12">
      <c r="A1" s="268" t="s">
        <v>89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ht="20.25" customHeight="1" spans="1:12">
      <c r="A2" s="269" t="s">
        <v>118</v>
      </c>
      <c r="B2" s="3"/>
      <c r="C2" s="3"/>
      <c r="D2" s="3"/>
      <c r="E2" s="270">
        <v>43279</v>
      </c>
      <c r="F2" s="270"/>
      <c r="G2" s="270"/>
      <c r="H2" s="3"/>
      <c r="I2" s="291"/>
      <c r="J2" s="16"/>
      <c r="K2" s="16" t="s">
        <v>3</v>
      </c>
      <c r="L2" s="16"/>
    </row>
    <row r="3" spans="1:13">
      <c r="A3" s="271" t="s">
        <v>29</v>
      </c>
      <c r="B3" s="271" t="s">
        <v>91</v>
      </c>
      <c r="C3" s="271" t="s">
        <v>62</v>
      </c>
      <c r="D3" s="272" t="s">
        <v>63</v>
      </c>
      <c r="E3" s="271" t="s">
        <v>57</v>
      </c>
      <c r="F3" s="272" t="s">
        <v>7</v>
      </c>
      <c r="G3" s="273" t="s">
        <v>65</v>
      </c>
      <c r="H3" s="274"/>
      <c r="I3" s="274"/>
      <c r="J3" s="274"/>
      <c r="K3" s="274"/>
      <c r="L3" s="292"/>
      <c r="M3" s="272" t="s">
        <v>52</v>
      </c>
    </row>
    <row r="4" spans="1:13">
      <c r="A4" s="271"/>
      <c r="B4" s="271"/>
      <c r="C4" s="271"/>
      <c r="D4" s="272"/>
      <c r="E4" s="271"/>
      <c r="F4" s="272"/>
      <c r="G4" s="271" t="s">
        <v>66</v>
      </c>
      <c r="H4" s="271" t="s">
        <v>67</v>
      </c>
      <c r="I4" s="271" t="s">
        <v>92</v>
      </c>
      <c r="J4" s="272" t="s">
        <v>69</v>
      </c>
      <c r="K4" s="271" t="s">
        <v>70</v>
      </c>
      <c r="L4" s="271" t="s">
        <v>131</v>
      </c>
      <c r="M4" s="272"/>
    </row>
    <row r="5" ht="18.75" customHeight="1" spans="1:13">
      <c r="A5" s="275" t="s">
        <v>93</v>
      </c>
      <c r="B5" s="276">
        <f>SUM(B6,B20,B23,B24,B25,B26)</f>
        <v>13793.36</v>
      </c>
      <c r="C5" s="276"/>
      <c r="D5" s="277">
        <f t="shared" ref="D5:L5" si="0">SUM(D6,D20,D23,D24,D25,D26)</f>
        <v>10370.1482</v>
      </c>
      <c r="E5" s="277">
        <f t="shared" si="0"/>
        <v>3423.2118</v>
      </c>
      <c r="F5" s="278">
        <f t="shared" ref="F5:F31" si="1">D5/B5*100</f>
        <v>75.1821760615253</v>
      </c>
      <c r="G5" s="277">
        <f>SUM(G6,G20,G23,G24,G25,G26)</f>
        <v>10370.148159</v>
      </c>
      <c r="H5" s="277">
        <f t="shared" si="0"/>
        <v>7221.9187</v>
      </c>
      <c r="I5" s="277">
        <f t="shared" si="0"/>
        <v>1986</v>
      </c>
      <c r="J5" s="277">
        <f t="shared" si="0"/>
        <v>511.5871</v>
      </c>
      <c r="K5" s="277">
        <f t="shared" si="0"/>
        <v>647.912659</v>
      </c>
      <c r="L5" s="277">
        <f t="shared" si="0"/>
        <v>2.7297</v>
      </c>
      <c r="M5" s="24"/>
    </row>
    <row r="6" ht="18.75" customHeight="1" spans="1:13">
      <c r="A6" s="279" t="s">
        <v>94</v>
      </c>
      <c r="B6" s="276">
        <f t="shared" ref="B6:L6" si="2">SUM(B7:B19)</f>
        <v>9825.75</v>
      </c>
      <c r="C6" s="276"/>
      <c r="D6" s="277">
        <f t="shared" si="2"/>
        <v>6862.5382</v>
      </c>
      <c r="E6" s="277">
        <f t="shared" si="2"/>
        <v>2963.2118</v>
      </c>
      <c r="F6" s="278">
        <f t="shared" si="1"/>
        <v>69.8423855685317</v>
      </c>
      <c r="G6" s="277">
        <f>SUM(G7:G19)</f>
        <v>6862.538159</v>
      </c>
      <c r="H6" s="277">
        <f t="shared" si="2"/>
        <v>3729.9187</v>
      </c>
      <c r="I6" s="277">
        <f t="shared" si="2"/>
        <v>1986</v>
      </c>
      <c r="J6" s="277">
        <f t="shared" si="2"/>
        <v>511.5871</v>
      </c>
      <c r="K6" s="277">
        <f t="shared" si="2"/>
        <v>632.302659</v>
      </c>
      <c r="L6" s="277">
        <f t="shared" si="2"/>
        <v>2.7297</v>
      </c>
      <c r="M6" s="24"/>
    </row>
    <row r="7" ht="21" customHeight="1" spans="1:13">
      <c r="A7" s="280" t="s">
        <v>33</v>
      </c>
      <c r="B7" s="278">
        <f>1454.26+664</f>
        <v>2118.26</v>
      </c>
      <c r="C7" s="281" t="s">
        <v>71</v>
      </c>
      <c r="D7" s="282">
        <v>2115.257</v>
      </c>
      <c r="E7" s="282">
        <f t="shared" ref="E7:E31" si="3">B7-D7</f>
        <v>3.00300000000016</v>
      </c>
      <c r="F7" s="278">
        <f t="shared" si="1"/>
        <v>99.8582327004239</v>
      </c>
      <c r="G7" s="282">
        <f>SUM(H7:L7)</f>
        <v>2115.257</v>
      </c>
      <c r="H7" s="282">
        <v>2115.257</v>
      </c>
      <c r="I7" s="282"/>
      <c r="J7" s="284"/>
      <c r="K7" s="282"/>
      <c r="L7" s="282"/>
      <c r="M7" s="24"/>
    </row>
    <row r="8" ht="21" customHeight="1" spans="1:13">
      <c r="A8" s="280" t="s">
        <v>34</v>
      </c>
      <c r="B8" s="278">
        <v>5</v>
      </c>
      <c r="C8" s="281" t="s">
        <v>73</v>
      </c>
      <c r="D8" s="282">
        <v>4.4721</v>
      </c>
      <c r="E8" s="282">
        <f t="shared" si="3"/>
        <v>0.5279</v>
      </c>
      <c r="F8" s="278">
        <f t="shared" si="1"/>
        <v>89.442</v>
      </c>
      <c r="G8" s="282">
        <f t="shared" ref="G8:G19" si="4">SUM(H8:L8)</f>
        <v>4.4721</v>
      </c>
      <c r="H8" s="282"/>
      <c r="I8" s="282"/>
      <c r="J8" s="282">
        <v>4.4721</v>
      </c>
      <c r="K8" s="282"/>
      <c r="L8" s="282"/>
      <c r="M8" s="24"/>
    </row>
    <row r="9" ht="21" customHeight="1" spans="1:13">
      <c r="A9" s="280" t="s">
        <v>35</v>
      </c>
      <c r="B9" s="278">
        <f>3215.2-230</f>
        <v>2985.2</v>
      </c>
      <c r="C9" s="281" t="s">
        <v>68</v>
      </c>
      <c r="D9" s="282">
        <v>1986</v>
      </c>
      <c r="E9" s="282">
        <f t="shared" si="3"/>
        <v>999.2</v>
      </c>
      <c r="F9" s="278">
        <f t="shared" si="1"/>
        <v>66.5282058153558</v>
      </c>
      <c r="G9" s="282">
        <f t="shared" si="4"/>
        <v>1986</v>
      </c>
      <c r="H9" s="282"/>
      <c r="I9" s="282">
        <v>1986</v>
      </c>
      <c r="J9" s="282"/>
      <c r="K9" s="282"/>
      <c r="L9" s="282"/>
      <c r="M9" s="24"/>
    </row>
    <row r="10" ht="37.5" customHeight="1" spans="1:13">
      <c r="A10" s="280" t="s">
        <v>36</v>
      </c>
      <c r="B10" s="278">
        <v>481</v>
      </c>
      <c r="C10" s="283" t="s">
        <v>75</v>
      </c>
      <c r="D10" s="282">
        <v>332.8297</v>
      </c>
      <c r="E10" s="282">
        <f t="shared" si="3"/>
        <v>148.1703</v>
      </c>
      <c r="F10" s="278">
        <f t="shared" si="1"/>
        <v>69.1953638253638</v>
      </c>
      <c r="G10" s="282">
        <f t="shared" si="4"/>
        <v>332.8297</v>
      </c>
      <c r="H10" s="284"/>
      <c r="I10" s="282"/>
      <c r="J10" s="282">
        <v>284.1</v>
      </c>
      <c r="K10" s="282">
        <v>46</v>
      </c>
      <c r="L10" s="282">
        <v>2.7297</v>
      </c>
      <c r="M10" s="24"/>
    </row>
    <row r="11" ht="22.5" customHeight="1" spans="1:13">
      <c r="A11" s="280" t="s">
        <v>37</v>
      </c>
      <c r="B11" s="278">
        <v>574.9</v>
      </c>
      <c r="C11" s="281" t="s">
        <v>76</v>
      </c>
      <c r="D11" s="282">
        <f>160+36.885+26.13</f>
        <v>223.015</v>
      </c>
      <c r="E11" s="282">
        <f t="shared" si="3"/>
        <v>351.885</v>
      </c>
      <c r="F11" s="278">
        <f t="shared" si="1"/>
        <v>38.7919638197947</v>
      </c>
      <c r="G11" s="282">
        <f t="shared" si="4"/>
        <v>223.015</v>
      </c>
      <c r="H11" s="282"/>
      <c r="I11" s="282"/>
      <c r="J11" s="282">
        <v>223.015</v>
      </c>
      <c r="K11" s="282"/>
      <c r="L11" s="282"/>
      <c r="M11" s="24"/>
    </row>
    <row r="12" ht="35.25" customHeight="1" spans="1:13">
      <c r="A12" s="280" t="s">
        <v>38</v>
      </c>
      <c r="B12" s="278">
        <f>1132.83-30</f>
        <v>1102.83</v>
      </c>
      <c r="C12" s="283" t="s">
        <v>95</v>
      </c>
      <c r="D12" s="282">
        <v>378.4422</v>
      </c>
      <c r="E12" s="282">
        <f t="shared" si="3"/>
        <v>724.3878</v>
      </c>
      <c r="F12" s="278">
        <f t="shared" si="1"/>
        <v>34.3155518076222</v>
      </c>
      <c r="G12" s="282">
        <f t="shared" si="4"/>
        <v>378.4422</v>
      </c>
      <c r="H12" s="282">
        <v>378.4422</v>
      </c>
      <c r="I12" s="282"/>
      <c r="J12" s="282"/>
      <c r="K12" s="282"/>
      <c r="L12" s="282"/>
      <c r="M12" s="24"/>
    </row>
    <row r="13" ht="21.75" customHeight="1" spans="1:13">
      <c r="A13" s="280" t="s">
        <v>39</v>
      </c>
      <c r="B13" s="278">
        <v>78.87</v>
      </c>
      <c r="C13" s="281" t="s">
        <v>78</v>
      </c>
      <c r="D13" s="282">
        <f>74.005+0.765</f>
        <v>74.77</v>
      </c>
      <c r="E13" s="282">
        <f t="shared" si="3"/>
        <v>4.10000000000001</v>
      </c>
      <c r="F13" s="278">
        <f t="shared" si="1"/>
        <v>94.8015722074299</v>
      </c>
      <c r="G13" s="282">
        <f t="shared" si="4"/>
        <v>74.77</v>
      </c>
      <c r="H13" s="282">
        <f>74.005+0.765</f>
        <v>74.77</v>
      </c>
      <c r="I13" s="282"/>
      <c r="J13" s="282"/>
      <c r="K13" s="282"/>
      <c r="L13" s="282"/>
      <c r="M13" s="24"/>
    </row>
    <row r="14" ht="21.75" customHeight="1" spans="1:13">
      <c r="A14" s="280" t="s">
        <v>41</v>
      </c>
      <c r="B14" s="278">
        <v>1738.17</v>
      </c>
      <c r="C14" s="281" t="s">
        <v>80</v>
      </c>
      <c r="D14" s="282">
        <f>1125.0651</f>
        <v>1125.0651</v>
      </c>
      <c r="E14" s="282">
        <f t="shared" si="3"/>
        <v>613.1049</v>
      </c>
      <c r="F14" s="278">
        <f t="shared" si="1"/>
        <v>64.7269887295259</v>
      </c>
      <c r="G14" s="282">
        <f t="shared" si="4"/>
        <v>1125.0651</v>
      </c>
      <c r="H14" s="282">
        <v>1125.0651</v>
      </c>
      <c r="I14" s="282"/>
      <c r="J14" s="282"/>
      <c r="K14" s="284"/>
      <c r="L14" s="284"/>
      <c r="M14" s="24"/>
    </row>
    <row r="15" ht="21.75" customHeight="1" spans="1:13">
      <c r="A15" s="280" t="s">
        <v>42</v>
      </c>
      <c r="B15" s="278">
        <v>88.19</v>
      </c>
      <c r="C15" s="285" t="s">
        <v>81</v>
      </c>
      <c r="D15" s="282">
        <v>35.3844</v>
      </c>
      <c r="E15" s="282">
        <f t="shared" si="3"/>
        <v>52.8056</v>
      </c>
      <c r="F15" s="278">
        <f t="shared" si="1"/>
        <v>40.1229164304343</v>
      </c>
      <c r="G15" s="282">
        <f t="shared" si="4"/>
        <v>35.3844</v>
      </c>
      <c r="H15" s="282">
        <v>35.3844</v>
      </c>
      <c r="I15" s="282"/>
      <c r="J15" s="282"/>
      <c r="K15" s="282"/>
      <c r="L15" s="282"/>
      <c r="M15" s="24"/>
    </row>
    <row r="16" ht="21.75" customHeight="1" spans="1:13">
      <c r="A16" s="280" t="s">
        <v>45</v>
      </c>
      <c r="B16" s="278">
        <v>7.58</v>
      </c>
      <c r="C16" s="285" t="s">
        <v>81</v>
      </c>
      <c r="D16" s="282">
        <v>1</v>
      </c>
      <c r="E16" s="282">
        <f t="shared" si="3"/>
        <v>6.58</v>
      </c>
      <c r="F16" s="278">
        <f t="shared" si="1"/>
        <v>13.1926121372032</v>
      </c>
      <c r="G16" s="282">
        <f t="shared" si="4"/>
        <v>1</v>
      </c>
      <c r="H16" s="282">
        <v>1</v>
      </c>
      <c r="I16" s="282"/>
      <c r="J16" s="282"/>
      <c r="K16" s="282"/>
      <c r="L16" s="282"/>
      <c r="M16" s="24"/>
    </row>
    <row r="17" ht="21.75" customHeight="1" spans="1:13">
      <c r="A17" s="280" t="s">
        <v>112</v>
      </c>
      <c r="B17" s="278">
        <v>16</v>
      </c>
      <c r="C17" s="285" t="s">
        <v>107</v>
      </c>
      <c r="D17" s="282"/>
      <c r="E17" s="282">
        <f t="shared" si="3"/>
        <v>16</v>
      </c>
      <c r="F17" s="278">
        <f t="shared" si="1"/>
        <v>0</v>
      </c>
      <c r="G17" s="282">
        <f t="shared" si="4"/>
        <v>0</v>
      </c>
      <c r="H17" s="282"/>
      <c r="I17" s="282"/>
      <c r="J17" s="282"/>
      <c r="K17" s="282"/>
      <c r="L17" s="282"/>
      <c r="M17" s="24"/>
    </row>
    <row r="18" ht="21.75" customHeight="1" spans="1:13">
      <c r="A18" s="280" t="s">
        <v>113</v>
      </c>
      <c r="B18" s="278">
        <v>31.8</v>
      </c>
      <c r="C18" s="285" t="s">
        <v>108</v>
      </c>
      <c r="D18" s="282"/>
      <c r="E18" s="282">
        <f t="shared" si="3"/>
        <v>31.8</v>
      </c>
      <c r="F18" s="278">
        <f t="shared" si="1"/>
        <v>0</v>
      </c>
      <c r="G18" s="282">
        <f t="shared" si="4"/>
        <v>0</v>
      </c>
      <c r="H18" s="282"/>
      <c r="I18" s="282"/>
      <c r="J18" s="282"/>
      <c r="K18" s="282"/>
      <c r="L18" s="282"/>
      <c r="M18" s="24"/>
    </row>
    <row r="19" ht="43.5" customHeight="1" spans="1:13">
      <c r="A19" s="280" t="s">
        <v>96</v>
      </c>
      <c r="B19" s="278">
        <v>597.95</v>
      </c>
      <c r="C19" s="285" t="s">
        <v>122</v>
      </c>
      <c r="D19" s="282">
        <f>586.3027</f>
        <v>586.3027</v>
      </c>
      <c r="E19" s="282">
        <f t="shared" si="3"/>
        <v>11.6473000000001</v>
      </c>
      <c r="F19" s="278">
        <f t="shared" si="1"/>
        <v>98.0521281043565</v>
      </c>
      <c r="G19" s="282">
        <f t="shared" si="4"/>
        <v>586.302659</v>
      </c>
      <c r="H19" s="282"/>
      <c r="I19" s="282"/>
      <c r="J19" s="282"/>
      <c r="K19" s="282">
        <v>586.302659</v>
      </c>
      <c r="L19" s="282"/>
      <c r="M19" s="293" t="s">
        <v>132</v>
      </c>
    </row>
    <row r="20" ht="18.75" customHeight="1" spans="1:13">
      <c r="A20" s="280" t="s">
        <v>97</v>
      </c>
      <c r="B20" s="278">
        <f t="shared" ref="B20:K20" si="5">SUM(B21:B22)</f>
        <v>80.61</v>
      </c>
      <c r="C20" s="281"/>
      <c r="D20" s="282">
        <f t="shared" si="5"/>
        <v>80.61</v>
      </c>
      <c r="E20" s="282">
        <f t="shared" si="3"/>
        <v>0</v>
      </c>
      <c r="F20" s="278">
        <f t="shared" si="1"/>
        <v>100</v>
      </c>
      <c r="G20" s="282">
        <f t="shared" si="5"/>
        <v>80.61</v>
      </c>
      <c r="H20" s="282">
        <f t="shared" si="5"/>
        <v>65</v>
      </c>
      <c r="I20" s="282"/>
      <c r="J20" s="282"/>
      <c r="K20" s="282">
        <f t="shared" si="5"/>
        <v>15.61</v>
      </c>
      <c r="L20" s="282"/>
      <c r="M20" s="24"/>
    </row>
    <row r="21" ht="22.5" customHeight="1" spans="1:13">
      <c r="A21" s="280" t="s">
        <v>33</v>
      </c>
      <c r="B21" s="278">
        <v>65</v>
      </c>
      <c r="C21" s="281" t="s">
        <v>71</v>
      </c>
      <c r="D21" s="282">
        <v>65</v>
      </c>
      <c r="E21" s="282">
        <f t="shared" si="3"/>
        <v>0</v>
      </c>
      <c r="F21" s="278">
        <f t="shared" si="1"/>
        <v>100</v>
      </c>
      <c r="G21" s="282">
        <f t="shared" ref="G21:G26" si="6">SUM(H21:K21)</f>
        <v>65</v>
      </c>
      <c r="H21" s="282">
        <v>65</v>
      </c>
      <c r="I21" s="282"/>
      <c r="J21" s="282"/>
      <c r="K21" s="282"/>
      <c r="L21" s="282"/>
      <c r="M21" s="24"/>
    </row>
    <row r="22" ht="22.5" customHeight="1" spans="1:13">
      <c r="A22" s="280" t="s">
        <v>96</v>
      </c>
      <c r="B22" s="278">
        <v>15.61</v>
      </c>
      <c r="C22" s="281" t="s">
        <v>124</v>
      </c>
      <c r="D22" s="282">
        <v>15.61</v>
      </c>
      <c r="E22" s="282">
        <f t="shared" si="3"/>
        <v>0</v>
      </c>
      <c r="F22" s="278">
        <f t="shared" si="1"/>
        <v>100</v>
      </c>
      <c r="G22" s="282">
        <f t="shared" si="6"/>
        <v>15.61</v>
      </c>
      <c r="H22" s="282"/>
      <c r="I22" s="282"/>
      <c r="J22" s="282"/>
      <c r="K22" s="282">
        <v>15.61</v>
      </c>
      <c r="L22" s="282"/>
      <c r="M22" s="24"/>
    </row>
    <row r="23" ht="22.5" customHeight="1" spans="1:13">
      <c r="A23" s="280" t="s">
        <v>98</v>
      </c>
      <c r="B23" s="278">
        <v>20</v>
      </c>
      <c r="C23" s="281" t="s">
        <v>125</v>
      </c>
      <c r="D23" s="282">
        <v>0</v>
      </c>
      <c r="E23" s="282">
        <f t="shared" si="3"/>
        <v>20</v>
      </c>
      <c r="F23" s="278">
        <f t="shared" si="1"/>
        <v>0</v>
      </c>
      <c r="G23" s="282">
        <f t="shared" si="6"/>
        <v>0</v>
      </c>
      <c r="H23" s="282"/>
      <c r="I23" s="282"/>
      <c r="J23" s="282"/>
      <c r="K23" s="282"/>
      <c r="L23" s="282"/>
      <c r="M23" s="24"/>
    </row>
    <row r="24" ht="22.5" customHeight="1" spans="1:13">
      <c r="A24" s="280" t="s">
        <v>99</v>
      </c>
      <c r="B24" s="278">
        <v>40</v>
      </c>
      <c r="C24" s="281" t="s">
        <v>126</v>
      </c>
      <c r="D24" s="282"/>
      <c r="E24" s="282">
        <f t="shared" si="3"/>
        <v>40</v>
      </c>
      <c r="F24" s="278">
        <f t="shared" si="1"/>
        <v>0</v>
      </c>
      <c r="G24" s="282">
        <f t="shared" si="6"/>
        <v>0</v>
      </c>
      <c r="H24" s="282"/>
      <c r="I24" s="282"/>
      <c r="J24" s="282"/>
      <c r="K24" s="282"/>
      <c r="L24" s="282"/>
      <c r="M24" s="24"/>
    </row>
    <row r="25" ht="22.5" customHeight="1" spans="1:13">
      <c r="A25" s="280" t="s">
        <v>100</v>
      </c>
      <c r="B25" s="278">
        <v>1127</v>
      </c>
      <c r="C25" s="285" t="s">
        <v>119</v>
      </c>
      <c r="D25" s="282">
        <v>1127</v>
      </c>
      <c r="E25" s="282">
        <f t="shared" si="3"/>
        <v>0</v>
      </c>
      <c r="F25" s="278">
        <f t="shared" si="1"/>
        <v>100</v>
      </c>
      <c r="G25" s="282">
        <f t="shared" si="6"/>
        <v>1127</v>
      </c>
      <c r="H25" s="282">
        <v>1127</v>
      </c>
      <c r="I25" s="282"/>
      <c r="J25" s="282"/>
      <c r="K25" s="282"/>
      <c r="L25" s="282"/>
      <c r="M25" s="24"/>
    </row>
    <row r="26" ht="22.5" customHeight="1" spans="1:13">
      <c r="A26" s="280" t="s">
        <v>101</v>
      </c>
      <c r="B26" s="278">
        <v>2700</v>
      </c>
      <c r="C26" s="285" t="s">
        <v>119</v>
      </c>
      <c r="D26" s="282">
        <v>2300</v>
      </c>
      <c r="E26" s="282">
        <f t="shared" si="3"/>
        <v>400</v>
      </c>
      <c r="F26" s="278">
        <f t="shared" si="1"/>
        <v>85.1851851851852</v>
      </c>
      <c r="G26" s="282">
        <f t="shared" si="6"/>
        <v>2300</v>
      </c>
      <c r="H26" s="282">
        <v>2300</v>
      </c>
      <c r="I26" s="282"/>
      <c r="J26" s="282"/>
      <c r="K26" s="282"/>
      <c r="L26" s="282"/>
      <c r="M26" s="24"/>
    </row>
    <row r="27" ht="22.5" customHeight="1" spans="1:13">
      <c r="A27" s="286" t="s">
        <v>102</v>
      </c>
      <c r="B27" s="278">
        <f t="shared" ref="B27:J27" si="7">SUM(B28:B31)</f>
        <v>942</v>
      </c>
      <c r="C27" s="278"/>
      <c r="D27" s="282">
        <f t="shared" si="7"/>
        <v>941.3</v>
      </c>
      <c r="E27" s="282">
        <f t="shared" si="3"/>
        <v>0.700000000000045</v>
      </c>
      <c r="F27" s="278">
        <f t="shared" si="1"/>
        <v>99.9256900212314</v>
      </c>
      <c r="G27" s="282">
        <f t="shared" si="7"/>
        <v>941.3</v>
      </c>
      <c r="H27" s="282">
        <f t="shared" si="7"/>
        <v>841.3</v>
      </c>
      <c r="I27" s="282"/>
      <c r="J27" s="282">
        <f t="shared" si="7"/>
        <v>100</v>
      </c>
      <c r="K27" s="282"/>
      <c r="L27" s="282"/>
      <c r="M27" s="24"/>
    </row>
    <row r="28" ht="22.5" customHeight="1" spans="1:13">
      <c r="A28" s="280" t="s">
        <v>33</v>
      </c>
      <c r="B28" s="278">
        <v>176</v>
      </c>
      <c r="C28" s="281" t="s">
        <v>71</v>
      </c>
      <c r="D28" s="282">
        <v>176</v>
      </c>
      <c r="E28" s="282">
        <f t="shared" si="3"/>
        <v>0</v>
      </c>
      <c r="F28" s="278">
        <f t="shared" si="1"/>
        <v>100</v>
      </c>
      <c r="G28" s="282">
        <f>SUM(H28:K28)</f>
        <v>176</v>
      </c>
      <c r="H28" s="282">
        <v>176</v>
      </c>
      <c r="I28" s="282"/>
      <c r="J28" s="282"/>
      <c r="K28" s="282"/>
      <c r="L28" s="282"/>
      <c r="M28" s="24"/>
    </row>
    <row r="29" ht="22.5" customHeight="1" spans="1:13">
      <c r="A29" s="280" t="s">
        <v>38</v>
      </c>
      <c r="B29" s="278">
        <v>166</v>
      </c>
      <c r="C29" s="287" t="s">
        <v>103</v>
      </c>
      <c r="D29" s="282">
        <v>165.3</v>
      </c>
      <c r="E29" s="282">
        <f t="shared" si="3"/>
        <v>0.699999999999989</v>
      </c>
      <c r="F29" s="278">
        <f t="shared" si="1"/>
        <v>99.5783132530121</v>
      </c>
      <c r="G29" s="282">
        <f>SUM(H29:K29)</f>
        <v>165.3</v>
      </c>
      <c r="H29" s="282">
        <v>165.3</v>
      </c>
      <c r="I29" s="282"/>
      <c r="J29" s="282"/>
      <c r="K29" s="282"/>
      <c r="L29" s="282"/>
      <c r="M29" s="24"/>
    </row>
    <row r="30" ht="22.5" customHeight="1" spans="1:13">
      <c r="A30" s="280" t="s">
        <v>37</v>
      </c>
      <c r="B30" s="278">
        <v>100</v>
      </c>
      <c r="C30" s="281" t="s">
        <v>76</v>
      </c>
      <c r="D30" s="282">
        <v>100</v>
      </c>
      <c r="E30" s="282">
        <f t="shared" si="3"/>
        <v>0</v>
      </c>
      <c r="F30" s="278">
        <f t="shared" si="1"/>
        <v>100</v>
      </c>
      <c r="G30" s="282">
        <f>SUM(H30:K30)</f>
        <v>100</v>
      </c>
      <c r="H30" s="282"/>
      <c r="I30" s="282"/>
      <c r="J30" s="282">
        <v>100</v>
      </c>
      <c r="K30" s="282"/>
      <c r="L30" s="282"/>
      <c r="M30" s="24"/>
    </row>
    <row r="31" ht="22.5" customHeight="1" spans="1:13">
      <c r="A31" s="280" t="s">
        <v>41</v>
      </c>
      <c r="B31" s="278">
        <v>500</v>
      </c>
      <c r="C31" s="281" t="s">
        <v>80</v>
      </c>
      <c r="D31" s="282">
        <v>500</v>
      </c>
      <c r="E31" s="282">
        <f t="shared" si="3"/>
        <v>0</v>
      </c>
      <c r="F31" s="278">
        <f t="shared" si="1"/>
        <v>100</v>
      </c>
      <c r="G31" s="282">
        <f>SUM(H31:K31)</f>
        <v>500</v>
      </c>
      <c r="H31" s="282">
        <v>500</v>
      </c>
      <c r="I31" s="282"/>
      <c r="J31" s="282"/>
      <c r="K31" s="282"/>
      <c r="L31" s="282"/>
      <c r="M31" s="24"/>
    </row>
    <row r="32" ht="22.5" customHeight="1" spans="1:13">
      <c r="A32" s="280" t="s">
        <v>27</v>
      </c>
      <c r="B32" s="282">
        <f>B27+B5</f>
        <v>14735.36</v>
      </c>
      <c r="C32" s="282">
        <f t="shared" ref="C32:M32" si="8">C27+C5</f>
        <v>0</v>
      </c>
      <c r="D32" s="282">
        <f t="shared" si="8"/>
        <v>11311.4482</v>
      </c>
      <c r="E32" s="282">
        <f t="shared" si="8"/>
        <v>3423.9118</v>
      </c>
      <c r="F32" s="282">
        <f t="shared" si="8"/>
        <v>175.107866082757</v>
      </c>
      <c r="G32" s="282">
        <f t="shared" si="8"/>
        <v>11311.448159</v>
      </c>
      <c r="H32" s="282">
        <f t="shared" si="8"/>
        <v>8063.2187</v>
      </c>
      <c r="I32" s="282">
        <f t="shared" si="8"/>
        <v>1986</v>
      </c>
      <c r="J32" s="282">
        <f t="shared" si="8"/>
        <v>611.5871</v>
      </c>
      <c r="K32" s="282">
        <f t="shared" si="8"/>
        <v>647.912659</v>
      </c>
      <c r="L32" s="282">
        <f t="shared" si="8"/>
        <v>2.7297</v>
      </c>
      <c r="M32" s="282">
        <f t="shared" si="8"/>
        <v>0</v>
      </c>
    </row>
    <row r="33" spans="1:1">
      <c r="A33" s="288"/>
    </row>
    <row r="34" spans="1:8">
      <c r="A34" s="289"/>
      <c r="H34" s="290">
        <f>H32+I32+J32+L32</f>
        <v>10663.5355</v>
      </c>
    </row>
  </sheetData>
  <mergeCells count="10">
    <mergeCell ref="A1:K1"/>
    <mergeCell ref="E2:G2"/>
    <mergeCell ref="G3:L3"/>
    <mergeCell ref="A3:A4"/>
    <mergeCell ref="B3:B4"/>
    <mergeCell ref="C3:C4"/>
    <mergeCell ref="D3:D4"/>
    <mergeCell ref="E3:E4"/>
    <mergeCell ref="F3:F4"/>
    <mergeCell ref="M3:M4"/>
  </mergeCells>
  <pageMargins left="0.529166666666667" right="0.313888888888889" top="0.2" bottom="0.259027777777778" header="0.313888888888889" footer="0.313888888888889"/>
  <pageSetup paperSize="9" scale="7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33.0833333333333" customWidth="1"/>
    <col min="2" max="2" width="11.6666666666667" customWidth="1"/>
    <col min="3" max="3" width="33.25" customWidth="1"/>
    <col min="4" max="4" width="11.9166666666667" customWidth="1"/>
    <col min="5" max="5" width="12.0833333333333" customWidth="1"/>
    <col min="6" max="6" width="10.75" customWidth="1"/>
    <col min="7" max="7" width="12.9166666666667" customWidth="1"/>
    <col min="8" max="8" width="11.5" customWidth="1"/>
    <col min="9" max="9" width="12.25" customWidth="1"/>
    <col min="10" max="10" width="12.9166666666667" customWidth="1"/>
    <col min="11" max="11" width="13.1666666666667" customWidth="1"/>
    <col min="12" max="12" width="8" customWidth="1"/>
    <col min="13" max="13" width="11.25" customWidth="1"/>
    <col min="14" max="14" width="10.1666666666667" customWidth="1"/>
    <col min="15" max="15" width="9.75" customWidth="1"/>
    <col min="16" max="16" width="10.75" customWidth="1"/>
  </cols>
  <sheetData>
    <row r="1" ht="30.5" customHeight="1" spans="1:16">
      <c r="A1" s="258" t="s">
        <v>133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ht="21.5" customHeight="1" spans="1:16">
      <c r="A2" s="2" t="s">
        <v>118</v>
      </c>
      <c r="B2" s="3"/>
      <c r="C2" s="212">
        <v>43578</v>
      </c>
      <c r="D2" s="212"/>
      <c r="E2" s="212"/>
      <c r="F2" s="212"/>
      <c r="G2" s="212"/>
      <c r="H2" s="212"/>
      <c r="I2" s="212"/>
      <c r="J2" s="212"/>
      <c r="K2" s="212"/>
      <c r="L2" s="16"/>
      <c r="M2" s="16"/>
      <c r="N2" s="16"/>
      <c r="O2" s="242" t="s">
        <v>3</v>
      </c>
      <c r="P2" s="242"/>
    </row>
    <row r="3" ht="24" customHeight="1" spans="1:16">
      <c r="A3" s="213" t="s">
        <v>134</v>
      </c>
      <c r="B3" s="214" t="s">
        <v>135</v>
      </c>
      <c r="C3" s="214" t="s">
        <v>62</v>
      </c>
      <c r="D3" s="215" t="s">
        <v>136</v>
      </c>
      <c r="E3" s="216" t="s">
        <v>137</v>
      </c>
      <c r="F3" s="215" t="s">
        <v>7</v>
      </c>
      <c r="G3" s="214" t="s">
        <v>65</v>
      </c>
      <c r="H3" s="214"/>
      <c r="I3" s="214"/>
      <c r="J3" s="214"/>
      <c r="K3" s="214"/>
      <c r="L3" s="214"/>
      <c r="M3" s="214"/>
      <c r="N3" s="214"/>
      <c r="O3" s="214"/>
      <c r="P3" s="243"/>
    </row>
    <row r="4" ht="24" customHeight="1" spans="1:16">
      <c r="A4" s="217"/>
      <c r="B4" s="218"/>
      <c r="C4" s="218"/>
      <c r="D4" s="219"/>
      <c r="E4" s="220"/>
      <c r="F4" s="219"/>
      <c r="G4" s="221" t="s">
        <v>138</v>
      </c>
      <c r="H4" s="222" t="s">
        <v>139</v>
      </c>
      <c r="I4" s="244"/>
      <c r="J4" s="244"/>
      <c r="K4" s="244"/>
      <c r="L4" s="244"/>
      <c r="M4" s="244"/>
      <c r="N4" s="245"/>
      <c r="O4" s="246" t="s">
        <v>140</v>
      </c>
      <c r="P4" s="247" t="s">
        <v>141</v>
      </c>
    </row>
    <row r="5" ht="32" customHeight="1" spans="1:16">
      <c r="A5" s="223"/>
      <c r="B5" s="174"/>
      <c r="C5" s="174"/>
      <c r="D5" s="175"/>
      <c r="E5" s="219"/>
      <c r="F5" s="175"/>
      <c r="G5" s="218"/>
      <c r="H5" s="174" t="s">
        <v>66</v>
      </c>
      <c r="I5" s="174" t="s">
        <v>142</v>
      </c>
      <c r="J5" s="174" t="s">
        <v>143</v>
      </c>
      <c r="K5" s="174" t="s">
        <v>144</v>
      </c>
      <c r="L5" s="175" t="s">
        <v>69</v>
      </c>
      <c r="M5" s="175" t="s">
        <v>145</v>
      </c>
      <c r="N5" s="174" t="s">
        <v>131</v>
      </c>
      <c r="O5" s="248"/>
      <c r="P5" s="249"/>
    </row>
    <row r="6" ht="25" customHeight="1" spans="1:16">
      <c r="A6" s="224" t="s">
        <v>93</v>
      </c>
      <c r="B6" s="186">
        <f>SUM(B7,B17,B23)</f>
        <v>17272.5</v>
      </c>
      <c r="C6" s="186">
        <f>SUM(C7,C17,C23)</f>
        <v>0</v>
      </c>
      <c r="D6" s="186">
        <f>SUM(D7,D17,D23)</f>
        <v>6218.09</v>
      </c>
      <c r="E6" s="186">
        <f>SUM(E7,E17,E23)</f>
        <v>11054.41</v>
      </c>
      <c r="F6" s="13">
        <f>D6/B6*100</f>
        <v>35.9999421045014</v>
      </c>
      <c r="G6" s="186">
        <f t="shared" ref="G6:P6" si="0">SUM(G7,G17,G23)</f>
        <v>6218.09</v>
      </c>
      <c r="H6" s="186">
        <f t="shared" ref="H6:H17" si="1">SUM(I6:N6)</f>
        <v>5329.4</v>
      </c>
      <c r="I6" s="186">
        <f t="shared" si="0"/>
        <v>342.9</v>
      </c>
      <c r="J6" s="186">
        <f t="shared" si="0"/>
        <v>3648</v>
      </c>
      <c r="K6" s="186">
        <f t="shared" si="0"/>
        <v>1338.5</v>
      </c>
      <c r="L6" s="186">
        <f t="shared" si="0"/>
        <v>0</v>
      </c>
      <c r="M6" s="186">
        <f t="shared" si="0"/>
        <v>0</v>
      </c>
      <c r="N6" s="186">
        <f t="shared" si="0"/>
        <v>0</v>
      </c>
      <c r="O6" s="186">
        <f t="shared" si="0"/>
        <v>168</v>
      </c>
      <c r="P6" s="250">
        <f t="shared" si="0"/>
        <v>16</v>
      </c>
    </row>
    <row r="7" ht="25" customHeight="1" spans="1:16">
      <c r="A7" s="225" t="s">
        <v>146</v>
      </c>
      <c r="B7" s="186">
        <f>SUM(B8,B15,B16)</f>
        <v>11415</v>
      </c>
      <c r="C7" s="186">
        <f>SUM(C8,C15,C16)</f>
        <v>0</v>
      </c>
      <c r="D7" s="186">
        <f>SUM(D8,D15,D16)</f>
        <v>3900.59</v>
      </c>
      <c r="E7" s="186">
        <f>SUM(E8,E15,E16)</f>
        <v>7514.41</v>
      </c>
      <c r="F7" s="13">
        <f t="shared" ref="F6:F32" si="2">D7/B7*100</f>
        <v>34.1707402540517</v>
      </c>
      <c r="G7" s="186">
        <f t="shared" ref="G7:P7" si="3">SUM(G8,G15,G16)</f>
        <v>3900.59</v>
      </c>
      <c r="H7" s="186">
        <f t="shared" si="1"/>
        <v>3011.9</v>
      </c>
      <c r="I7" s="186">
        <f t="shared" si="3"/>
        <v>342.9</v>
      </c>
      <c r="J7" s="186">
        <f t="shared" si="3"/>
        <v>2669</v>
      </c>
      <c r="K7" s="186">
        <f t="shared" si="3"/>
        <v>0</v>
      </c>
      <c r="L7" s="186">
        <f t="shared" si="3"/>
        <v>0</v>
      </c>
      <c r="M7" s="186">
        <f t="shared" si="3"/>
        <v>0</v>
      </c>
      <c r="N7" s="186">
        <f t="shared" si="3"/>
        <v>0</v>
      </c>
      <c r="O7" s="186">
        <f t="shared" si="3"/>
        <v>168</v>
      </c>
      <c r="P7" s="250">
        <f t="shared" si="3"/>
        <v>16</v>
      </c>
    </row>
    <row r="8" ht="25" customHeight="1" spans="1:16">
      <c r="A8" s="226" t="s">
        <v>147</v>
      </c>
      <c r="B8" s="186">
        <f t="shared" ref="B8:P8" si="4">SUM(B9:B14)</f>
        <v>11036</v>
      </c>
      <c r="C8" s="187"/>
      <c r="D8" s="186">
        <f>SUM(D9:D14)</f>
        <v>3900.59</v>
      </c>
      <c r="E8" s="186">
        <f t="shared" si="4"/>
        <v>7135.41</v>
      </c>
      <c r="F8" s="13">
        <f t="shared" si="2"/>
        <v>35.3442370424067</v>
      </c>
      <c r="G8" s="186">
        <f t="shared" si="4"/>
        <v>3900.59</v>
      </c>
      <c r="H8" s="186">
        <f t="shared" si="1"/>
        <v>3011.9</v>
      </c>
      <c r="I8" s="186">
        <f t="shared" si="4"/>
        <v>342.9</v>
      </c>
      <c r="J8" s="186">
        <f t="shared" si="4"/>
        <v>2669</v>
      </c>
      <c r="K8" s="186"/>
      <c r="L8" s="186">
        <f t="shared" si="4"/>
        <v>0</v>
      </c>
      <c r="M8" s="186"/>
      <c r="N8" s="186"/>
      <c r="O8" s="186">
        <f t="shared" si="4"/>
        <v>168</v>
      </c>
      <c r="P8" s="250">
        <f t="shared" si="4"/>
        <v>16</v>
      </c>
    </row>
    <row r="9" ht="25" customHeight="1" spans="1:16">
      <c r="A9" s="227" t="s">
        <v>148</v>
      </c>
      <c r="B9" s="11">
        <v>168</v>
      </c>
      <c r="C9" s="15" t="s">
        <v>149</v>
      </c>
      <c r="D9" s="11">
        <v>168</v>
      </c>
      <c r="E9" s="11">
        <f t="shared" ref="E9:E16" si="5">B9-D9</f>
        <v>0</v>
      </c>
      <c r="F9" s="13">
        <f t="shared" si="2"/>
        <v>100</v>
      </c>
      <c r="G9" s="11">
        <f t="shared" ref="G9:G14" si="6">SUM(I9:P9)</f>
        <v>168</v>
      </c>
      <c r="H9" s="186">
        <f t="shared" si="1"/>
        <v>0</v>
      </c>
      <c r="I9" s="11"/>
      <c r="J9" s="11"/>
      <c r="K9" s="11"/>
      <c r="L9" s="251"/>
      <c r="M9" s="251"/>
      <c r="N9" s="251"/>
      <c r="O9" s="11">
        <v>168</v>
      </c>
      <c r="P9" s="252"/>
    </row>
    <row r="10" ht="45.5" customHeight="1" spans="1:16">
      <c r="A10" s="227" t="s">
        <v>150</v>
      </c>
      <c r="B10" s="11">
        <v>4631</v>
      </c>
      <c r="C10" s="39" t="s">
        <v>151</v>
      </c>
      <c r="D10" s="11">
        <v>342.9</v>
      </c>
      <c r="E10" s="11">
        <f t="shared" si="5"/>
        <v>4288.1</v>
      </c>
      <c r="F10" s="13">
        <f t="shared" si="2"/>
        <v>7.40444828330814</v>
      </c>
      <c r="G10" s="11">
        <f t="shared" si="6"/>
        <v>342.9</v>
      </c>
      <c r="H10" s="186">
        <f t="shared" si="1"/>
        <v>342.9</v>
      </c>
      <c r="I10" s="11">
        <v>342.9</v>
      </c>
      <c r="J10" s="11"/>
      <c r="K10" s="11"/>
      <c r="L10" s="11"/>
      <c r="M10" s="11"/>
      <c r="N10" s="11"/>
      <c r="O10" s="11"/>
      <c r="P10" s="252"/>
    </row>
    <row r="11" ht="25" customHeight="1" spans="1:16">
      <c r="A11" s="227" t="s">
        <v>152</v>
      </c>
      <c r="B11" s="11">
        <v>2058</v>
      </c>
      <c r="C11" s="15" t="s">
        <v>153</v>
      </c>
      <c r="D11" s="11"/>
      <c r="E11" s="11">
        <f t="shared" si="5"/>
        <v>2058</v>
      </c>
      <c r="F11" s="13">
        <f t="shared" si="2"/>
        <v>0</v>
      </c>
      <c r="G11" s="11">
        <f t="shared" si="6"/>
        <v>0</v>
      </c>
      <c r="H11" s="186">
        <f t="shared" si="1"/>
        <v>0</v>
      </c>
      <c r="I11" s="11"/>
      <c r="J11" s="11"/>
      <c r="K11" s="11"/>
      <c r="L11" s="11"/>
      <c r="M11" s="11"/>
      <c r="N11" s="11"/>
      <c r="O11" s="11"/>
      <c r="P11" s="252"/>
    </row>
    <row r="12" ht="25" customHeight="1" spans="1:16">
      <c r="A12" s="227" t="s">
        <v>154</v>
      </c>
      <c r="B12" s="11">
        <v>567</v>
      </c>
      <c r="C12" s="15" t="s">
        <v>155</v>
      </c>
      <c r="D12" s="11">
        <v>567</v>
      </c>
      <c r="E12" s="11">
        <f t="shared" si="5"/>
        <v>0</v>
      </c>
      <c r="F12" s="13">
        <f t="shared" si="2"/>
        <v>100</v>
      </c>
      <c r="G12" s="11">
        <f t="shared" si="6"/>
        <v>567</v>
      </c>
      <c r="H12" s="186">
        <f t="shared" si="1"/>
        <v>567</v>
      </c>
      <c r="I12" s="251"/>
      <c r="J12" s="11"/>
      <c r="K12" s="11"/>
      <c r="L12" s="11"/>
      <c r="M12" s="11"/>
      <c r="N12" s="11">
        <v>567</v>
      </c>
      <c r="O12" s="11"/>
      <c r="P12" s="252"/>
    </row>
    <row r="13" ht="41.5" customHeight="1" spans="1:16">
      <c r="A13" s="227" t="s">
        <v>36</v>
      </c>
      <c r="B13" s="11">
        <f>176+380</f>
        <v>556</v>
      </c>
      <c r="C13" s="39" t="s">
        <v>156</v>
      </c>
      <c r="D13" s="11">
        <f>16+42</f>
        <v>58</v>
      </c>
      <c r="E13" s="11">
        <f t="shared" si="5"/>
        <v>498</v>
      </c>
      <c r="F13" s="13">
        <f t="shared" si="2"/>
        <v>10.431654676259</v>
      </c>
      <c r="G13" s="11">
        <f t="shared" si="6"/>
        <v>58</v>
      </c>
      <c r="H13" s="186">
        <f t="shared" si="1"/>
        <v>42</v>
      </c>
      <c r="I13" s="11"/>
      <c r="J13" s="11"/>
      <c r="K13" s="11"/>
      <c r="L13" s="11"/>
      <c r="M13" s="11"/>
      <c r="N13" s="11">
        <v>42</v>
      </c>
      <c r="O13" s="11"/>
      <c r="P13" s="252">
        <v>16</v>
      </c>
    </row>
    <row r="14" ht="45" customHeight="1" spans="1:16">
      <c r="A14" s="227" t="s">
        <v>33</v>
      </c>
      <c r="B14" s="11">
        <f>387+2669</f>
        <v>3056</v>
      </c>
      <c r="C14" s="15" t="s">
        <v>157</v>
      </c>
      <c r="D14" s="11">
        <f>2669+95.69</f>
        <v>2764.69</v>
      </c>
      <c r="E14" s="11">
        <f t="shared" si="5"/>
        <v>291.31</v>
      </c>
      <c r="F14" s="13">
        <f t="shared" si="2"/>
        <v>90.4676047120419</v>
      </c>
      <c r="G14" s="11">
        <f t="shared" si="6"/>
        <v>2764.69</v>
      </c>
      <c r="H14" s="186">
        <f t="shared" si="1"/>
        <v>2764.69</v>
      </c>
      <c r="I14" s="11"/>
      <c r="J14" s="11">
        <v>2669</v>
      </c>
      <c r="K14" s="11"/>
      <c r="L14" s="11"/>
      <c r="M14" s="11"/>
      <c r="N14" s="11">
        <v>95.69</v>
      </c>
      <c r="O14" s="11"/>
      <c r="P14" s="252"/>
    </row>
    <row r="15" ht="25" customHeight="1" spans="1:16">
      <c r="A15" s="228" t="s">
        <v>158</v>
      </c>
      <c r="B15" s="11">
        <v>329</v>
      </c>
      <c r="C15" s="15" t="s">
        <v>159</v>
      </c>
      <c r="D15" s="11">
        <v>0</v>
      </c>
      <c r="E15" s="11">
        <f t="shared" si="5"/>
        <v>329</v>
      </c>
      <c r="F15" s="13">
        <f t="shared" si="2"/>
        <v>0</v>
      </c>
      <c r="G15" s="11">
        <v>0</v>
      </c>
      <c r="H15" s="186">
        <f t="shared" si="1"/>
        <v>0</v>
      </c>
      <c r="I15" s="11">
        <v>0</v>
      </c>
      <c r="J15" s="11"/>
      <c r="K15" s="11"/>
      <c r="L15" s="11"/>
      <c r="M15" s="11"/>
      <c r="N15" s="11"/>
      <c r="O15" s="11"/>
      <c r="P15" s="252"/>
    </row>
    <row r="16" ht="25" customHeight="1" spans="1:16">
      <c r="A16" s="228" t="s">
        <v>160</v>
      </c>
      <c r="B16" s="11">
        <v>50</v>
      </c>
      <c r="C16" s="15" t="s">
        <v>161</v>
      </c>
      <c r="D16" s="11">
        <v>0</v>
      </c>
      <c r="E16" s="11">
        <f t="shared" si="5"/>
        <v>50</v>
      </c>
      <c r="F16" s="13">
        <f t="shared" si="2"/>
        <v>0</v>
      </c>
      <c r="G16" s="11">
        <f>SUM(I16:P16)</f>
        <v>0</v>
      </c>
      <c r="H16" s="186">
        <f t="shared" si="1"/>
        <v>0</v>
      </c>
      <c r="I16" s="11"/>
      <c r="J16" s="11"/>
      <c r="K16" s="11"/>
      <c r="L16" s="11"/>
      <c r="M16" s="11"/>
      <c r="N16" s="11"/>
      <c r="O16" s="11"/>
      <c r="P16" s="252">
        <v>0</v>
      </c>
    </row>
    <row r="17" ht="25" customHeight="1" spans="1:16">
      <c r="A17" s="225" t="s">
        <v>162</v>
      </c>
      <c r="B17" s="11">
        <f>SUM(B18:B22)</f>
        <v>2857.5</v>
      </c>
      <c r="C17" s="189"/>
      <c r="D17" s="11">
        <f>SUM(D18:D22)</f>
        <v>2317.5</v>
      </c>
      <c r="E17" s="11">
        <f>SUM(E18:E22)</f>
        <v>540</v>
      </c>
      <c r="F17" s="13">
        <f t="shared" si="2"/>
        <v>81.1023622047244</v>
      </c>
      <c r="G17" s="11">
        <f>SUM(G18:G22)</f>
        <v>2317.5</v>
      </c>
      <c r="H17" s="11">
        <f t="shared" ref="H17:P17" si="7">SUM(H18:H22)</f>
        <v>2317.5</v>
      </c>
      <c r="I17" s="11">
        <f t="shared" si="7"/>
        <v>0</v>
      </c>
      <c r="J17" s="11">
        <f t="shared" si="7"/>
        <v>979</v>
      </c>
      <c r="K17" s="11">
        <f t="shared" si="7"/>
        <v>1338.5</v>
      </c>
      <c r="L17" s="11">
        <f t="shared" si="7"/>
        <v>0</v>
      </c>
      <c r="M17" s="11">
        <f t="shared" si="7"/>
        <v>0</v>
      </c>
      <c r="N17" s="11">
        <f t="shared" si="7"/>
        <v>0</v>
      </c>
      <c r="O17" s="11">
        <f t="shared" si="7"/>
        <v>0</v>
      </c>
      <c r="P17" s="252">
        <f t="shared" si="7"/>
        <v>0</v>
      </c>
    </row>
    <row r="18" ht="25" customHeight="1" spans="1:16">
      <c r="A18" s="227" t="s">
        <v>33</v>
      </c>
      <c r="B18" s="11">
        <v>204</v>
      </c>
      <c r="C18" s="15" t="s">
        <v>143</v>
      </c>
      <c r="D18" s="11">
        <v>204</v>
      </c>
      <c r="E18" s="11">
        <f t="shared" ref="E18:E23" si="8">B18-D18</f>
        <v>0</v>
      </c>
      <c r="F18" s="13">
        <f t="shared" si="2"/>
        <v>100</v>
      </c>
      <c r="G18" s="186">
        <f>H18+O18+P18</f>
        <v>204</v>
      </c>
      <c r="H18" s="186">
        <f>SUM(I18:N18)</f>
        <v>204</v>
      </c>
      <c r="I18" s="11"/>
      <c r="J18" s="11">
        <v>204</v>
      </c>
      <c r="K18" s="11"/>
      <c r="L18" s="11"/>
      <c r="M18" s="11"/>
      <c r="N18" s="11"/>
      <c r="O18" s="11"/>
      <c r="P18" s="252"/>
    </row>
    <row r="19" ht="25" customHeight="1" spans="1:16">
      <c r="A19" s="227" t="s">
        <v>150</v>
      </c>
      <c r="B19" s="11">
        <v>775</v>
      </c>
      <c r="C19" s="15" t="s">
        <v>143</v>
      </c>
      <c r="D19" s="11">
        <v>775</v>
      </c>
      <c r="E19" s="11">
        <f t="shared" si="8"/>
        <v>0</v>
      </c>
      <c r="F19" s="13">
        <f t="shared" si="2"/>
        <v>100</v>
      </c>
      <c r="G19" s="186">
        <f t="shared" ref="G19:G29" si="9">H19+O19+P19</f>
        <v>775</v>
      </c>
      <c r="H19" s="186">
        <f t="shared" ref="H19:H30" si="10">SUM(I19:N19)</f>
        <v>775</v>
      </c>
      <c r="I19" s="11"/>
      <c r="J19" s="11">
        <v>775</v>
      </c>
      <c r="K19" s="11"/>
      <c r="L19" s="11"/>
      <c r="M19" s="11"/>
      <c r="N19" s="11"/>
      <c r="O19" s="11"/>
      <c r="P19" s="252"/>
    </row>
    <row r="20" ht="25" customHeight="1" spans="1:16">
      <c r="A20" s="227" t="s">
        <v>37</v>
      </c>
      <c r="B20" s="11">
        <v>520</v>
      </c>
      <c r="C20" s="15" t="s">
        <v>163</v>
      </c>
      <c r="D20" s="11"/>
      <c r="E20" s="11">
        <f t="shared" si="8"/>
        <v>520</v>
      </c>
      <c r="F20" s="13">
        <f t="shared" si="2"/>
        <v>0</v>
      </c>
      <c r="G20" s="186">
        <f t="shared" si="9"/>
        <v>0</v>
      </c>
      <c r="H20" s="186">
        <f t="shared" si="10"/>
        <v>0</v>
      </c>
      <c r="I20" s="11"/>
      <c r="J20" s="11"/>
      <c r="K20" s="11"/>
      <c r="L20" s="11"/>
      <c r="M20" s="11"/>
      <c r="N20" s="11"/>
      <c r="O20" s="11"/>
      <c r="P20" s="252"/>
    </row>
    <row r="21" ht="25" customHeight="1" spans="1:16">
      <c r="A21" s="227" t="s">
        <v>150</v>
      </c>
      <c r="B21" s="11">
        <v>1338.5</v>
      </c>
      <c r="C21" s="15" t="s">
        <v>164</v>
      </c>
      <c r="D21" s="11">
        <v>1338.5</v>
      </c>
      <c r="E21" s="11">
        <f t="shared" si="8"/>
        <v>0</v>
      </c>
      <c r="F21" s="13">
        <f t="shared" si="2"/>
        <v>100</v>
      </c>
      <c r="G21" s="186">
        <f t="shared" si="9"/>
        <v>1338.5</v>
      </c>
      <c r="H21" s="186">
        <f t="shared" si="10"/>
        <v>1338.5</v>
      </c>
      <c r="I21" s="11"/>
      <c r="J21" s="11"/>
      <c r="K21" s="11">
        <v>1338.5</v>
      </c>
      <c r="L21" s="11"/>
      <c r="M21" s="11"/>
      <c r="N21" s="11"/>
      <c r="O21" s="11"/>
      <c r="P21" s="252"/>
    </row>
    <row r="22" ht="25" customHeight="1" spans="1:16">
      <c r="A22" s="227" t="s">
        <v>36</v>
      </c>
      <c r="B22" s="11">
        <v>20</v>
      </c>
      <c r="C22" s="15" t="s">
        <v>165</v>
      </c>
      <c r="D22" s="11"/>
      <c r="E22" s="11">
        <f t="shared" si="8"/>
        <v>20</v>
      </c>
      <c r="F22" s="13">
        <f t="shared" si="2"/>
        <v>0</v>
      </c>
      <c r="G22" s="186">
        <f t="shared" si="9"/>
        <v>0</v>
      </c>
      <c r="H22" s="186">
        <f t="shared" si="10"/>
        <v>0</v>
      </c>
      <c r="I22" s="11"/>
      <c r="J22" s="11"/>
      <c r="K22" s="11"/>
      <c r="L22" s="11"/>
      <c r="M22" s="11"/>
      <c r="N22" s="11"/>
      <c r="O22" s="11"/>
      <c r="P22" s="254"/>
    </row>
    <row r="23" ht="25" customHeight="1" spans="1:16">
      <c r="A23" s="225" t="s">
        <v>166</v>
      </c>
      <c r="B23" s="11">
        <v>3000</v>
      </c>
      <c r="C23" s="15" t="s">
        <v>165</v>
      </c>
      <c r="D23" s="11">
        <v>0</v>
      </c>
      <c r="E23" s="11">
        <f t="shared" si="8"/>
        <v>3000</v>
      </c>
      <c r="F23" s="13">
        <f t="shared" si="2"/>
        <v>0</v>
      </c>
      <c r="G23" s="186">
        <f t="shared" si="9"/>
        <v>0</v>
      </c>
      <c r="H23" s="186">
        <f t="shared" si="10"/>
        <v>0</v>
      </c>
      <c r="I23" s="11">
        <v>0</v>
      </c>
      <c r="J23" s="11"/>
      <c r="K23" s="11"/>
      <c r="L23" s="11"/>
      <c r="M23" s="11"/>
      <c r="N23" s="11"/>
      <c r="O23" s="11"/>
      <c r="P23" s="252"/>
    </row>
    <row r="24" ht="25" customHeight="1" spans="1:16">
      <c r="A24" s="230" t="s">
        <v>102</v>
      </c>
      <c r="B24" s="11">
        <f>SUM(B25:B30)</f>
        <v>3000</v>
      </c>
      <c r="C24" s="189"/>
      <c r="D24" s="11">
        <f>SUM(D25:D29)</f>
        <v>340</v>
      </c>
      <c r="E24" s="11">
        <f>SUM(E25:E29)</f>
        <v>2010</v>
      </c>
      <c r="F24" s="13">
        <f t="shared" si="2"/>
        <v>11.3333333333333</v>
      </c>
      <c r="G24" s="186">
        <f>SUM(G25:G29)</f>
        <v>340</v>
      </c>
      <c r="H24" s="186">
        <f t="shared" ref="H24:P24" si="11">SUM(H25:H29)</f>
        <v>340</v>
      </c>
      <c r="I24" s="186">
        <f t="shared" si="11"/>
        <v>0</v>
      </c>
      <c r="J24" s="186">
        <f t="shared" si="11"/>
        <v>0</v>
      </c>
      <c r="K24" s="186">
        <f t="shared" si="11"/>
        <v>340</v>
      </c>
      <c r="L24" s="186">
        <f t="shared" si="11"/>
        <v>0</v>
      </c>
      <c r="M24" s="186">
        <f t="shared" si="11"/>
        <v>0</v>
      </c>
      <c r="N24" s="186">
        <f t="shared" si="11"/>
        <v>0</v>
      </c>
      <c r="O24" s="186">
        <f t="shared" si="11"/>
        <v>0</v>
      </c>
      <c r="P24" s="250">
        <f t="shared" si="11"/>
        <v>0</v>
      </c>
    </row>
    <row r="25" ht="25" customHeight="1" spans="1:16">
      <c r="A25" s="227" t="s">
        <v>150</v>
      </c>
      <c r="B25" s="11">
        <v>1020</v>
      </c>
      <c r="C25" s="12" t="s">
        <v>167</v>
      </c>
      <c r="D25" s="11">
        <v>0</v>
      </c>
      <c r="E25" s="11">
        <f t="shared" ref="E25:E30" si="12">B25-D25</f>
        <v>1020</v>
      </c>
      <c r="F25" s="13">
        <f t="shared" si="2"/>
        <v>0</v>
      </c>
      <c r="G25" s="186">
        <f t="shared" si="9"/>
        <v>0</v>
      </c>
      <c r="H25" s="186">
        <f t="shared" si="10"/>
        <v>0</v>
      </c>
      <c r="I25" s="11">
        <v>0</v>
      </c>
      <c r="J25" s="11"/>
      <c r="K25" s="11"/>
      <c r="L25" s="11"/>
      <c r="M25" s="11"/>
      <c r="N25" s="11"/>
      <c r="O25" s="11"/>
      <c r="P25" s="252"/>
    </row>
    <row r="26" ht="25" customHeight="1" spans="1:16">
      <c r="A26" s="227" t="s">
        <v>37</v>
      </c>
      <c r="B26" s="11">
        <v>100</v>
      </c>
      <c r="C26" s="15" t="s">
        <v>168</v>
      </c>
      <c r="D26" s="11">
        <v>0</v>
      </c>
      <c r="E26" s="11">
        <f t="shared" si="12"/>
        <v>100</v>
      </c>
      <c r="F26" s="13">
        <f t="shared" si="2"/>
        <v>0</v>
      </c>
      <c r="G26" s="186">
        <f t="shared" si="9"/>
        <v>0</v>
      </c>
      <c r="H26" s="186">
        <f t="shared" si="10"/>
        <v>0</v>
      </c>
      <c r="I26" s="11">
        <v>0</v>
      </c>
      <c r="J26" s="11"/>
      <c r="K26" s="11"/>
      <c r="L26" s="11"/>
      <c r="M26" s="11"/>
      <c r="N26" s="11"/>
      <c r="O26" s="11"/>
      <c r="P26" s="252"/>
    </row>
    <row r="27" ht="25" customHeight="1" spans="1:16">
      <c r="A27" s="227" t="s">
        <v>150</v>
      </c>
      <c r="B27" s="11">
        <v>400</v>
      </c>
      <c r="C27" s="12" t="s">
        <v>164</v>
      </c>
      <c r="D27" s="11">
        <v>340</v>
      </c>
      <c r="E27" s="11">
        <f t="shared" si="12"/>
        <v>60</v>
      </c>
      <c r="F27" s="13">
        <f t="shared" si="2"/>
        <v>85</v>
      </c>
      <c r="G27" s="186">
        <f t="shared" si="9"/>
        <v>340</v>
      </c>
      <c r="H27" s="186">
        <f t="shared" si="10"/>
        <v>340</v>
      </c>
      <c r="I27" s="11"/>
      <c r="J27" s="11"/>
      <c r="K27" s="11">
        <v>340</v>
      </c>
      <c r="L27" s="11"/>
      <c r="M27" s="11"/>
      <c r="N27" s="11"/>
      <c r="O27" s="11"/>
      <c r="P27" s="252"/>
    </row>
    <row r="28" ht="25" customHeight="1" spans="1:16">
      <c r="A28" s="227" t="s">
        <v>37</v>
      </c>
      <c r="B28" s="11">
        <v>780</v>
      </c>
      <c r="C28" s="15" t="s">
        <v>163</v>
      </c>
      <c r="D28" s="11">
        <v>0</v>
      </c>
      <c r="E28" s="11">
        <f t="shared" si="12"/>
        <v>780</v>
      </c>
      <c r="F28" s="13">
        <f t="shared" si="2"/>
        <v>0</v>
      </c>
      <c r="G28" s="186">
        <f t="shared" si="9"/>
        <v>0</v>
      </c>
      <c r="H28" s="186">
        <f t="shared" si="10"/>
        <v>0</v>
      </c>
      <c r="I28" s="11"/>
      <c r="J28" s="11"/>
      <c r="K28" s="11"/>
      <c r="L28" s="11">
        <v>0</v>
      </c>
      <c r="M28" s="11"/>
      <c r="N28" s="11"/>
      <c r="O28" s="11"/>
      <c r="P28" s="252"/>
    </row>
    <row r="29" ht="25" customHeight="1" spans="1:16">
      <c r="A29" s="227" t="s">
        <v>150</v>
      </c>
      <c r="B29" s="11">
        <v>50</v>
      </c>
      <c r="C29" s="15" t="s">
        <v>169</v>
      </c>
      <c r="D29" s="11">
        <v>0</v>
      </c>
      <c r="E29" s="11">
        <f t="shared" si="12"/>
        <v>50</v>
      </c>
      <c r="F29" s="13">
        <f t="shared" si="2"/>
        <v>0</v>
      </c>
      <c r="G29" s="186">
        <f t="shared" si="9"/>
        <v>0</v>
      </c>
      <c r="H29" s="186">
        <f t="shared" si="10"/>
        <v>0</v>
      </c>
      <c r="I29" s="11">
        <v>0</v>
      </c>
      <c r="J29" s="11"/>
      <c r="K29" s="11"/>
      <c r="L29" s="11"/>
      <c r="M29" s="11"/>
      <c r="N29" s="11"/>
      <c r="O29" s="11"/>
      <c r="P29" s="252"/>
    </row>
    <row r="30" ht="25" customHeight="1" spans="1:16">
      <c r="A30" s="263" t="s">
        <v>165</v>
      </c>
      <c r="B30" s="264">
        <v>650</v>
      </c>
      <c r="C30" s="265" t="s">
        <v>165</v>
      </c>
      <c r="D30" s="264"/>
      <c r="E30" s="11">
        <f t="shared" si="12"/>
        <v>650</v>
      </c>
      <c r="F30" s="13">
        <f t="shared" si="2"/>
        <v>0</v>
      </c>
      <c r="G30" s="266"/>
      <c r="H30" s="266"/>
      <c r="I30" s="264"/>
      <c r="J30" s="264"/>
      <c r="K30" s="264"/>
      <c r="L30" s="264"/>
      <c r="M30" s="264"/>
      <c r="N30" s="264"/>
      <c r="O30" s="264"/>
      <c r="P30" s="267"/>
    </row>
    <row r="31" ht="25" customHeight="1" spans="1:16">
      <c r="A31" s="231" t="s">
        <v>27</v>
      </c>
      <c r="B31" s="232">
        <f>B24+B6</f>
        <v>20272.5</v>
      </c>
      <c r="C31" s="233"/>
      <c r="D31" s="232">
        <f>D24+D6</f>
        <v>6558.09</v>
      </c>
      <c r="E31" s="232">
        <f>E24+E6</f>
        <v>13064.41</v>
      </c>
      <c r="F31" s="234">
        <f t="shared" si="2"/>
        <v>32.3496855345912</v>
      </c>
      <c r="G31" s="232">
        <f>G24+G6</f>
        <v>6558.09</v>
      </c>
      <c r="H31" s="235">
        <f>SUM(I31:N31)</f>
        <v>3990.9</v>
      </c>
      <c r="I31" s="232">
        <f>I24+I6</f>
        <v>342.9</v>
      </c>
      <c r="J31" s="232">
        <f>J24+J6</f>
        <v>3648</v>
      </c>
      <c r="K31" s="232"/>
      <c r="L31" s="232">
        <f>L24+L6</f>
        <v>0</v>
      </c>
      <c r="M31" s="232"/>
      <c r="N31" s="232"/>
      <c r="O31" s="232">
        <f>O24+O6</f>
        <v>168</v>
      </c>
      <c r="P31" s="255"/>
    </row>
    <row r="32" ht="40" customHeight="1" spans="1:16">
      <c r="A32" s="236" t="s">
        <v>170</v>
      </c>
      <c r="B32" s="237">
        <f>SUM(B33:B41)</f>
        <v>19622.5</v>
      </c>
      <c r="C32" s="237">
        <f>SUM(C33:C41)</f>
        <v>0</v>
      </c>
      <c r="D32" s="237">
        <f>SUM(D33:D41)</f>
        <v>6215.19</v>
      </c>
      <c r="E32" s="237">
        <f>SUM(E33:E41)</f>
        <v>13407.31</v>
      </c>
      <c r="F32" s="238">
        <f t="shared" si="2"/>
        <v>31.6737928398522</v>
      </c>
      <c r="G32" s="238">
        <f>SUM(G33:G41)</f>
        <v>5772.19</v>
      </c>
      <c r="H32" s="238">
        <f t="shared" ref="H32:P32" si="13">SUM(H33:H41)</f>
        <v>5588.19</v>
      </c>
      <c r="I32" s="238">
        <f t="shared" si="13"/>
        <v>0</v>
      </c>
      <c r="J32" s="238">
        <f t="shared" si="13"/>
        <v>3648</v>
      </c>
      <c r="K32" s="238">
        <f t="shared" si="13"/>
        <v>1678.5</v>
      </c>
      <c r="L32" s="238">
        <f t="shared" si="13"/>
        <v>0</v>
      </c>
      <c r="M32" s="238">
        <f t="shared" si="13"/>
        <v>0</v>
      </c>
      <c r="N32" s="238">
        <f t="shared" si="13"/>
        <v>261.69</v>
      </c>
      <c r="O32" s="238">
        <f t="shared" si="13"/>
        <v>168</v>
      </c>
      <c r="P32" s="256">
        <f t="shared" si="13"/>
        <v>16</v>
      </c>
    </row>
    <row r="33" ht="40" customHeight="1" spans="1:16">
      <c r="A33" s="227" t="s">
        <v>148</v>
      </c>
      <c r="B33" s="11">
        <f>B9</f>
        <v>168</v>
      </c>
      <c r="C33" s="24"/>
      <c r="D33" s="13">
        <f>D9</f>
        <v>168</v>
      </c>
      <c r="E33" s="13">
        <f>B33-D33</f>
        <v>0</v>
      </c>
      <c r="F33" s="13">
        <f t="shared" ref="F33:F41" si="14">D33/B33*100</f>
        <v>100</v>
      </c>
      <c r="G33" s="13">
        <f t="shared" ref="G33:G41" si="15">H33+O33+P33</f>
        <v>168</v>
      </c>
      <c r="H33" s="13">
        <f t="shared" ref="H33:H41" si="16">SUM(I33:N33)</f>
        <v>0</v>
      </c>
      <c r="I33" s="13"/>
      <c r="J33" s="13"/>
      <c r="K33" s="13"/>
      <c r="L33" s="13"/>
      <c r="M33" s="13"/>
      <c r="N33" s="13"/>
      <c r="O33" s="13">
        <v>168</v>
      </c>
      <c r="P33" s="253"/>
    </row>
    <row r="34" ht="40" customHeight="1" spans="1:16">
      <c r="A34" s="227" t="s">
        <v>150</v>
      </c>
      <c r="B34" s="11">
        <f>B10+B19+B21+B25+B27+B29</f>
        <v>8214.5</v>
      </c>
      <c r="C34" s="24"/>
      <c r="D34" s="13">
        <f>D19+D21+D27</f>
        <v>2453.5</v>
      </c>
      <c r="E34" s="13">
        <f t="shared" ref="E34:E41" si="17">B34-D34</f>
        <v>5761</v>
      </c>
      <c r="F34" s="13">
        <f t="shared" si="14"/>
        <v>29.8679164891351</v>
      </c>
      <c r="G34" s="13">
        <f t="shared" si="15"/>
        <v>2453.5</v>
      </c>
      <c r="H34" s="13">
        <f t="shared" si="16"/>
        <v>2453.5</v>
      </c>
      <c r="I34" s="13"/>
      <c r="J34" s="13">
        <v>775</v>
      </c>
      <c r="K34" s="13">
        <f>K27+K21</f>
        <v>1678.5</v>
      </c>
      <c r="L34" s="13"/>
      <c r="M34" s="13"/>
      <c r="N34" s="13"/>
      <c r="O34" s="13"/>
      <c r="P34" s="253"/>
    </row>
    <row r="35" ht="40" customHeight="1" spans="1:16">
      <c r="A35" s="227" t="s">
        <v>152</v>
      </c>
      <c r="B35" s="11">
        <f>B11</f>
        <v>2058</v>
      </c>
      <c r="C35" s="24"/>
      <c r="D35" s="13"/>
      <c r="E35" s="13">
        <f t="shared" si="17"/>
        <v>2058</v>
      </c>
      <c r="F35" s="13">
        <f t="shared" si="14"/>
        <v>0</v>
      </c>
      <c r="G35" s="13">
        <f t="shared" si="15"/>
        <v>0</v>
      </c>
      <c r="H35" s="13">
        <f t="shared" si="16"/>
        <v>0</v>
      </c>
      <c r="I35" s="13"/>
      <c r="J35" s="13"/>
      <c r="K35" s="13"/>
      <c r="L35" s="13"/>
      <c r="M35" s="13"/>
      <c r="N35" s="13"/>
      <c r="O35" s="13"/>
      <c r="P35" s="253"/>
    </row>
    <row r="36" ht="40" customHeight="1" spans="1:16">
      <c r="A36" s="227" t="s">
        <v>154</v>
      </c>
      <c r="B36" s="11">
        <f>B12</f>
        <v>567</v>
      </c>
      <c r="C36" s="24"/>
      <c r="D36" s="13">
        <f>D12</f>
        <v>567</v>
      </c>
      <c r="E36" s="13">
        <f t="shared" si="17"/>
        <v>0</v>
      </c>
      <c r="F36" s="13">
        <f t="shared" si="14"/>
        <v>100</v>
      </c>
      <c r="G36" s="13">
        <f t="shared" si="15"/>
        <v>124</v>
      </c>
      <c r="H36" s="13">
        <f t="shared" si="16"/>
        <v>124</v>
      </c>
      <c r="I36" s="13"/>
      <c r="J36" s="13"/>
      <c r="K36" s="13"/>
      <c r="L36" s="13"/>
      <c r="M36" s="13"/>
      <c r="N36" s="13">
        <v>124</v>
      </c>
      <c r="O36" s="13"/>
      <c r="P36" s="253"/>
    </row>
    <row r="37" ht="40" customHeight="1" spans="1:16">
      <c r="A37" s="227" t="s">
        <v>36</v>
      </c>
      <c r="B37" s="11">
        <f>B13+B22+B23</f>
        <v>3576</v>
      </c>
      <c r="C37" s="24"/>
      <c r="D37" s="13">
        <f>D13</f>
        <v>58</v>
      </c>
      <c r="E37" s="13">
        <f t="shared" si="17"/>
        <v>3518</v>
      </c>
      <c r="F37" s="13">
        <f t="shared" si="14"/>
        <v>1.62192393736018</v>
      </c>
      <c r="G37" s="13">
        <f t="shared" si="15"/>
        <v>58</v>
      </c>
      <c r="H37" s="13">
        <f t="shared" si="16"/>
        <v>42</v>
      </c>
      <c r="I37" s="13"/>
      <c r="J37" s="13"/>
      <c r="K37" s="13"/>
      <c r="L37" s="13"/>
      <c r="M37" s="13"/>
      <c r="N37" s="13">
        <v>42</v>
      </c>
      <c r="O37" s="13"/>
      <c r="P37" s="253">
        <v>16</v>
      </c>
    </row>
    <row r="38" ht="40" customHeight="1" spans="1:16">
      <c r="A38" s="227" t="s">
        <v>33</v>
      </c>
      <c r="B38" s="11">
        <f>B14+B18</f>
        <v>3260</v>
      </c>
      <c r="C38" s="24"/>
      <c r="D38" s="13">
        <f>D14+D18</f>
        <v>2968.69</v>
      </c>
      <c r="E38" s="13">
        <f t="shared" si="17"/>
        <v>291.31</v>
      </c>
      <c r="F38" s="13">
        <f t="shared" si="14"/>
        <v>91.0641104294479</v>
      </c>
      <c r="G38" s="13">
        <f t="shared" si="15"/>
        <v>2968.69</v>
      </c>
      <c r="H38" s="13">
        <f t="shared" si="16"/>
        <v>2968.69</v>
      </c>
      <c r="I38" s="13"/>
      <c r="J38" s="13">
        <f>J14+J18</f>
        <v>2873</v>
      </c>
      <c r="K38" s="13"/>
      <c r="L38" s="13"/>
      <c r="M38" s="13"/>
      <c r="N38" s="13">
        <f>N14</f>
        <v>95.69</v>
      </c>
      <c r="O38" s="13"/>
      <c r="P38" s="253"/>
    </row>
    <row r="39" ht="40" customHeight="1" spans="1:16">
      <c r="A39" s="227" t="s">
        <v>56</v>
      </c>
      <c r="B39" s="11">
        <f>B15</f>
        <v>329</v>
      </c>
      <c r="C39" s="24"/>
      <c r="D39" s="13"/>
      <c r="E39" s="13">
        <f t="shared" si="17"/>
        <v>329</v>
      </c>
      <c r="F39" s="13">
        <f t="shared" si="14"/>
        <v>0</v>
      </c>
      <c r="G39" s="13">
        <f t="shared" si="15"/>
        <v>0</v>
      </c>
      <c r="H39" s="13">
        <f t="shared" si="16"/>
        <v>0</v>
      </c>
      <c r="I39" s="13"/>
      <c r="J39" s="13"/>
      <c r="K39" s="13"/>
      <c r="L39" s="13"/>
      <c r="M39" s="13"/>
      <c r="N39" s="13"/>
      <c r="O39" s="13"/>
      <c r="P39" s="253"/>
    </row>
    <row r="40" ht="40" customHeight="1" spans="1:16">
      <c r="A40" s="227" t="s">
        <v>39</v>
      </c>
      <c r="B40" s="11">
        <f>B16</f>
        <v>50</v>
      </c>
      <c r="C40" s="24"/>
      <c r="D40" s="13"/>
      <c r="E40" s="13">
        <f t="shared" si="17"/>
        <v>50</v>
      </c>
      <c r="F40" s="13">
        <f t="shared" si="14"/>
        <v>0</v>
      </c>
      <c r="G40" s="13">
        <f t="shared" si="15"/>
        <v>0</v>
      </c>
      <c r="H40" s="13">
        <f t="shared" si="16"/>
        <v>0</v>
      </c>
      <c r="I40" s="13"/>
      <c r="J40" s="13"/>
      <c r="K40" s="13"/>
      <c r="L40" s="13"/>
      <c r="M40" s="13"/>
      <c r="N40" s="13"/>
      <c r="O40" s="13"/>
      <c r="P40" s="253"/>
    </row>
    <row r="41" ht="40" customHeight="1" spans="1:16">
      <c r="A41" s="231" t="s">
        <v>37</v>
      </c>
      <c r="B41" s="232">
        <f>B20+B26+B28</f>
        <v>1400</v>
      </c>
      <c r="C41" s="240"/>
      <c r="D41" s="234"/>
      <c r="E41" s="234">
        <f t="shared" si="17"/>
        <v>1400</v>
      </c>
      <c r="F41" s="234">
        <f t="shared" si="14"/>
        <v>0</v>
      </c>
      <c r="G41" s="234">
        <f t="shared" si="15"/>
        <v>0</v>
      </c>
      <c r="H41" s="234">
        <f t="shared" si="16"/>
        <v>0</v>
      </c>
      <c r="I41" s="234"/>
      <c r="J41" s="234"/>
      <c r="K41" s="234"/>
      <c r="L41" s="234"/>
      <c r="M41" s="234"/>
      <c r="N41" s="234"/>
      <c r="O41" s="234"/>
      <c r="P41" s="257"/>
    </row>
  </sheetData>
  <mergeCells count="14">
    <mergeCell ref="A1:P1"/>
    <mergeCell ref="C2:K2"/>
    <mergeCell ref="O2:P2"/>
    <mergeCell ref="G3:P3"/>
    <mergeCell ref="H4:N4"/>
    <mergeCell ref="A3:A5"/>
    <mergeCell ref="B3:B5"/>
    <mergeCell ref="C3:C5"/>
    <mergeCell ref="D3:D5"/>
    <mergeCell ref="E3:E5"/>
    <mergeCell ref="F3:F5"/>
    <mergeCell ref="G4:G5"/>
    <mergeCell ref="O4:O5"/>
    <mergeCell ref="P4:P5"/>
  </mergeCells>
  <pageMargins left="0.609027777777778" right="0.354166666666667" top="0.747916666666667" bottom="0.707638888888889" header="0.511805555555556" footer="0.511805555555556"/>
  <pageSetup paperSize="9" scale="57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1"/>
  <sheetViews>
    <sheetView showZeros="0" zoomScale="72" zoomScaleNormal="72" workbookViewId="0">
      <pane xSplit="1" ySplit="5" topLeftCell="B6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33.0833333333333" customWidth="1"/>
    <col min="2" max="2" width="11.6666666666667" customWidth="1"/>
    <col min="3" max="3" width="33.25" customWidth="1"/>
    <col min="4" max="4" width="11.9166666666667" customWidth="1"/>
    <col min="5" max="5" width="12.0833333333333" customWidth="1"/>
    <col min="6" max="6" width="10.75" customWidth="1"/>
    <col min="7" max="7" width="12.9166666666667" customWidth="1"/>
    <col min="8" max="8" width="11.5" customWidth="1"/>
    <col min="9" max="9" width="12.25" customWidth="1"/>
    <col min="10" max="10" width="12.9166666666667" customWidth="1"/>
    <col min="11" max="11" width="13.1666666666667" customWidth="1"/>
    <col min="12" max="12" width="8" customWidth="1"/>
    <col min="13" max="13" width="11.25" customWidth="1"/>
    <col min="14" max="14" width="12.5" customWidth="1"/>
    <col min="15" max="15" width="9.75" customWidth="1"/>
    <col min="16" max="16" width="10.75" customWidth="1"/>
  </cols>
  <sheetData>
    <row r="1" ht="30.5" customHeight="1" spans="1:16">
      <c r="A1" s="258" t="s">
        <v>133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ht="21.5" customHeight="1" spans="1:16">
      <c r="A2" s="2" t="s">
        <v>118</v>
      </c>
      <c r="B2" s="3"/>
      <c r="C2" s="212">
        <v>43599</v>
      </c>
      <c r="D2" s="212"/>
      <c r="E2" s="212"/>
      <c r="F2" s="212"/>
      <c r="G2" s="212"/>
      <c r="H2" s="212"/>
      <c r="I2" s="212"/>
      <c r="J2" s="212"/>
      <c r="K2" s="212"/>
      <c r="L2" s="16"/>
      <c r="M2" s="16"/>
      <c r="N2" s="16"/>
      <c r="O2" s="242" t="s">
        <v>3</v>
      </c>
      <c r="P2" s="242"/>
    </row>
    <row r="3" ht="24" customHeight="1" spans="1:16">
      <c r="A3" s="213" t="s">
        <v>134</v>
      </c>
      <c r="B3" s="214" t="s">
        <v>135</v>
      </c>
      <c r="C3" s="214" t="s">
        <v>62</v>
      </c>
      <c r="D3" s="215" t="s">
        <v>136</v>
      </c>
      <c r="E3" s="216" t="s">
        <v>137</v>
      </c>
      <c r="F3" s="215" t="s">
        <v>7</v>
      </c>
      <c r="G3" s="214" t="s">
        <v>65</v>
      </c>
      <c r="H3" s="214"/>
      <c r="I3" s="214"/>
      <c r="J3" s="214"/>
      <c r="K3" s="214"/>
      <c r="L3" s="214"/>
      <c r="M3" s="214"/>
      <c r="N3" s="214"/>
      <c r="O3" s="214"/>
      <c r="P3" s="243"/>
    </row>
    <row r="4" ht="24" customHeight="1" spans="1:16">
      <c r="A4" s="217"/>
      <c r="B4" s="218"/>
      <c r="C4" s="218"/>
      <c r="D4" s="219"/>
      <c r="E4" s="220"/>
      <c r="F4" s="219"/>
      <c r="G4" s="221" t="s">
        <v>138</v>
      </c>
      <c r="H4" s="222" t="s">
        <v>139</v>
      </c>
      <c r="I4" s="244"/>
      <c r="J4" s="244"/>
      <c r="K4" s="244"/>
      <c r="L4" s="244"/>
      <c r="M4" s="244"/>
      <c r="N4" s="245"/>
      <c r="O4" s="246" t="s">
        <v>140</v>
      </c>
      <c r="P4" s="247" t="s">
        <v>141</v>
      </c>
    </row>
    <row r="5" ht="32" customHeight="1" spans="1:16">
      <c r="A5" s="223"/>
      <c r="B5" s="174"/>
      <c r="C5" s="174"/>
      <c r="D5" s="175"/>
      <c r="E5" s="219"/>
      <c r="F5" s="175"/>
      <c r="G5" s="218"/>
      <c r="H5" s="174" t="s">
        <v>66</v>
      </c>
      <c r="I5" s="174" t="s">
        <v>142</v>
      </c>
      <c r="J5" s="174" t="s">
        <v>143</v>
      </c>
      <c r="K5" s="174" t="s">
        <v>144</v>
      </c>
      <c r="L5" s="175" t="s">
        <v>69</v>
      </c>
      <c r="M5" s="175" t="s">
        <v>145</v>
      </c>
      <c r="N5" s="174" t="s">
        <v>131</v>
      </c>
      <c r="O5" s="248"/>
      <c r="P5" s="249"/>
    </row>
    <row r="6" ht="25" customHeight="1" spans="1:16">
      <c r="A6" s="224" t="s">
        <v>93</v>
      </c>
      <c r="B6" s="186">
        <f t="shared" ref="B6:G6" si="0">SUM(B7,B17,B23)</f>
        <v>17272.5</v>
      </c>
      <c r="C6" s="186">
        <f t="shared" si="0"/>
        <v>0</v>
      </c>
      <c r="D6" s="186">
        <f t="shared" si="0"/>
        <v>11011.09</v>
      </c>
      <c r="E6" s="186">
        <f t="shared" si="0"/>
        <v>6261.41</v>
      </c>
      <c r="F6" s="13">
        <f t="shared" ref="F6:F41" si="1">D6/B6*100</f>
        <v>63.7492545954552</v>
      </c>
      <c r="G6" s="186">
        <f t="shared" si="0"/>
        <v>11010.98263</v>
      </c>
      <c r="H6" s="186">
        <f t="shared" ref="H6:H16" si="2">SUM(I6:N6)</f>
        <v>10122.4</v>
      </c>
      <c r="I6" s="186">
        <f t="shared" ref="I6:P6" si="3">SUM(I7,I17,I23)</f>
        <v>4615.9</v>
      </c>
      <c r="J6" s="186">
        <f t="shared" si="3"/>
        <v>3648</v>
      </c>
      <c r="K6" s="186">
        <f t="shared" si="3"/>
        <v>1338.5</v>
      </c>
      <c r="L6" s="186">
        <f t="shared" si="3"/>
        <v>0</v>
      </c>
      <c r="M6" s="186">
        <f t="shared" si="3"/>
        <v>520</v>
      </c>
      <c r="N6" s="186">
        <f t="shared" si="3"/>
        <v>0</v>
      </c>
      <c r="O6" s="186">
        <f t="shared" si="3"/>
        <v>168</v>
      </c>
      <c r="P6" s="250">
        <f t="shared" si="3"/>
        <v>16.241</v>
      </c>
    </row>
    <row r="7" ht="25" customHeight="1" spans="1:16">
      <c r="A7" s="225" t="s">
        <v>146</v>
      </c>
      <c r="B7" s="186">
        <f t="shared" ref="B7:G7" si="4">SUM(B8,B15,B16)</f>
        <v>11415</v>
      </c>
      <c r="C7" s="186">
        <f t="shared" si="4"/>
        <v>0</v>
      </c>
      <c r="D7" s="186">
        <f t="shared" si="4"/>
        <v>8173.59</v>
      </c>
      <c r="E7" s="186">
        <f t="shared" si="4"/>
        <v>3241.41</v>
      </c>
      <c r="F7" s="13">
        <f t="shared" si="1"/>
        <v>71.6039421813403</v>
      </c>
      <c r="G7" s="186">
        <f t="shared" si="4"/>
        <v>8173.48263</v>
      </c>
      <c r="H7" s="186">
        <f t="shared" si="2"/>
        <v>7284.9</v>
      </c>
      <c r="I7" s="186">
        <f t="shared" ref="I7:P7" si="5">SUM(I8,I15,I16)</f>
        <v>4615.9</v>
      </c>
      <c r="J7" s="186">
        <f t="shared" si="5"/>
        <v>2669</v>
      </c>
      <c r="K7" s="186">
        <f t="shared" si="5"/>
        <v>0</v>
      </c>
      <c r="L7" s="186">
        <f t="shared" si="5"/>
        <v>0</v>
      </c>
      <c r="M7" s="186">
        <f t="shared" si="5"/>
        <v>0</v>
      </c>
      <c r="N7" s="186">
        <f t="shared" si="5"/>
        <v>0</v>
      </c>
      <c r="O7" s="186">
        <f t="shared" si="5"/>
        <v>168</v>
      </c>
      <c r="P7" s="250">
        <f t="shared" si="5"/>
        <v>16.241</v>
      </c>
    </row>
    <row r="8" ht="25" customHeight="1" spans="1:16">
      <c r="A8" s="226" t="s">
        <v>147</v>
      </c>
      <c r="B8" s="186">
        <f t="shared" ref="B8:G8" si="6">SUM(B9:B14)</f>
        <v>11036</v>
      </c>
      <c r="C8" s="187"/>
      <c r="D8" s="186">
        <f t="shared" si="6"/>
        <v>8173.59</v>
      </c>
      <c r="E8" s="186">
        <f t="shared" si="6"/>
        <v>2862.41</v>
      </c>
      <c r="F8" s="13">
        <f t="shared" si="1"/>
        <v>74.0629757158391</v>
      </c>
      <c r="G8" s="186">
        <f t="shared" si="6"/>
        <v>8173.48263</v>
      </c>
      <c r="H8" s="186">
        <f t="shared" si="2"/>
        <v>7284.9</v>
      </c>
      <c r="I8" s="186">
        <f t="shared" ref="I8:L8" si="7">SUM(I9:I14)</f>
        <v>4615.9</v>
      </c>
      <c r="J8" s="186">
        <f t="shared" si="7"/>
        <v>2669</v>
      </c>
      <c r="K8" s="186"/>
      <c r="L8" s="186">
        <f t="shared" si="7"/>
        <v>0</v>
      </c>
      <c r="M8" s="186"/>
      <c r="N8" s="186"/>
      <c r="O8" s="186">
        <f>SUM(O9:O14)</f>
        <v>168</v>
      </c>
      <c r="P8" s="250">
        <f>SUM(P9:P14)</f>
        <v>16.241</v>
      </c>
    </row>
    <row r="9" ht="25" customHeight="1" spans="1:16">
      <c r="A9" s="227" t="s">
        <v>148</v>
      </c>
      <c r="B9" s="11">
        <v>168</v>
      </c>
      <c r="C9" s="15" t="s">
        <v>149</v>
      </c>
      <c r="D9" s="11">
        <v>168</v>
      </c>
      <c r="E9" s="11">
        <f t="shared" ref="E9:E16" si="8">B9-D9</f>
        <v>0</v>
      </c>
      <c r="F9" s="13">
        <f t="shared" si="1"/>
        <v>100</v>
      </c>
      <c r="G9" s="11">
        <f t="shared" ref="G9:G14" si="9">SUM(I9:P9)</f>
        <v>168</v>
      </c>
      <c r="H9" s="186">
        <f t="shared" si="2"/>
        <v>0</v>
      </c>
      <c r="I9" s="11"/>
      <c r="J9" s="11"/>
      <c r="K9" s="11"/>
      <c r="L9" s="251"/>
      <c r="M9" s="251"/>
      <c r="N9" s="251"/>
      <c r="O9" s="11">
        <v>168</v>
      </c>
      <c r="P9" s="252"/>
    </row>
    <row r="10" ht="45.5" customHeight="1" spans="1:16">
      <c r="A10" s="227" t="s">
        <v>150</v>
      </c>
      <c r="B10" s="11">
        <v>4631</v>
      </c>
      <c r="C10" s="39" t="s">
        <v>151</v>
      </c>
      <c r="D10" s="11">
        <v>4615.9</v>
      </c>
      <c r="E10" s="11">
        <f t="shared" si="8"/>
        <v>15.1000000000004</v>
      </c>
      <c r="F10" s="13">
        <f t="shared" si="1"/>
        <v>99.6739365147916</v>
      </c>
      <c r="G10" s="11">
        <f t="shared" si="9"/>
        <v>4615.9</v>
      </c>
      <c r="H10" s="186">
        <f t="shared" si="2"/>
        <v>4615.9</v>
      </c>
      <c r="I10" s="11">
        <v>4615.9</v>
      </c>
      <c r="J10" s="11"/>
      <c r="K10" s="11"/>
      <c r="L10" s="11"/>
      <c r="M10" s="11"/>
      <c r="N10" s="11"/>
      <c r="O10" s="11"/>
      <c r="P10" s="252"/>
    </row>
    <row r="11" ht="25" customHeight="1" spans="1:16">
      <c r="A11" s="227" t="s">
        <v>152</v>
      </c>
      <c r="B11" s="11">
        <v>2058</v>
      </c>
      <c r="C11" s="15" t="s">
        <v>153</v>
      </c>
      <c r="D11" s="11"/>
      <c r="E11" s="11">
        <f t="shared" si="8"/>
        <v>2058</v>
      </c>
      <c r="F11" s="13">
        <f t="shared" si="1"/>
        <v>0</v>
      </c>
      <c r="G11" s="11">
        <f t="shared" si="9"/>
        <v>0</v>
      </c>
      <c r="H11" s="186">
        <f t="shared" si="2"/>
        <v>0</v>
      </c>
      <c r="I11" s="11"/>
      <c r="J11" s="11"/>
      <c r="K11" s="11"/>
      <c r="L11" s="11"/>
      <c r="M11" s="11"/>
      <c r="N11" s="11"/>
      <c r="O11" s="11"/>
      <c r="P11" s="252"/>
    </row>
    <row r="12" ht="25" customHeight="1" spans="1:16">
      <c r="A12" s="227" t="s">
        <v>154</v>
      </c>
      <c r="B12" s="11">
        <v>567</v>
      </c>
      <c r="C12" s="15" t="s">
        <v>155</v>
      </c>
      <c r="D12" s="11">
        <v>567</v>
      </c>
      <c r="E12" s="11">
        <f t="shared" si="8"/>
        <v>0</v>
      </c>
      <c r="F12" s="13">
        <f t="shared" si="1"/>
        <v>100</v>
      </c>
      <c r="G12" s="11">
        <f t="shared" si="9"/>
        <v>567</v>
      </c>
      <c r="H12" s="186">
        <f t="shared" si="2"/>
        <v>567</v>
      </c>
      <c r="I12" s="251"/>
      <c r="J12" s="11"/>
      <c r="K12" s="11"/>
      <c r="L12" s="11"/>
      <c r="M12" s="11"/>
      <c r="N12" s="11">
        <v>567</v>
      </c>
      <c r="O12" s="11"/>
      <c r="P12" s="252"/>
    </row>
    <row r="13" ht="41.5" customHeight="1" spans="1:16">
      <c r="A13" s="227" t="s">
        <v>36</v>
      </c>
      <c r="B13" s="11">
        <f>176+380</f>
        <v>556</v>
      </c>
      <c r="C13" s="39" t="s">
        <v>156</v>
      </c>
      <c r="D13" s="11">
        <f>16+42</f>
        <v>58</v>
      </c>
      <c r="E13" s="11">
        <f t="shared" si="8"/>
        <v>498</v>
      </c>
      <c r="F13" s="13">
        <f t="shared" si="1"/>
        <v>10.431654676259</v>
      </c>
      <c r="G13" s="11">
        <f t="shared" si="9"/>
        <v>57.89388</v>
      </c>
      <c r="H13" s="186">
        <f t="shared" si="2"/>
        <v>41.65288</v>
      </c>
      <c r="I13" s="11"/>
      <c r="J13" s="11"/>
      <c r="K13" s="11"/>
      <c r="L13" s="11"/>
      <c r="M13" s="11"/>
      <c r="N13" s="11">
        <v>41.65288</v>
      </c>
      <c r="O13" s="11"/>
      <c r="P13" s="252">
        <v>16.241</v>
      </c>
    </row>
    <row r="14" ht="45" customHeight="1" spans="1:16">
      <c r="A14" s="227" t="s">
        <v>33</v>
      </c>
      <c r="B14" s="11">
        <f>387+2669</f>
        <v>3056</v>
      </c>
      <c r="C14" s="15" t="s">
        <v>157</v>
      </c>
      <c r="D14" s="11">
        <f>2669+95.69</f>
        <v>2764.69</v>
      </c>
      <c r="E14" s="11">
        <f t="shared" si="8"/>
        <v>291.31</v>
      </c>
      <c r="F14" s="13">
        <f t="shared" si="1"/>
        <v>90.4676047120419</v>
      </c>
      <c r="G14" s="11">
        <f t="shared" si="9"/>
        <v>2764.68875</v>
      </c>
      <c r="H14" s="186">
        <f t="shared" si="2"/>
        <v>2764.68875</v>
      </c>
      <c r="I14" s="11"/>
      <c r="J14" s="11">
        <v>2669</v>
      </c>
      <c r="K14" s="11"/>
      <c r="L14" s="11"/>
      <c r="M14" s="11"/>
      <c r="N14" s="11">
        <v>95.68875</v>
      </c>
      <c r="O14" s="11"/>
      <c r="P14" s="252"/>
    </row>
    <row r="15" ht="25" customHeight="1" spans="1:16">
      <c r="A15" s="228" t="s">
        <v>158</v>
      </c>
      <c r="B15" s="11">
        <v>329</v>
      </c>
      <c r="C15" s="15" t="s">
        <v>159</v>
      </c>
      <c r="D15" s="11">
        <v>0</v>
      </c>
      <c r="E15" s="11">
        <f t="shared" si="8"/>
        <v>329</v>
      </c>
      <c r="F15" s="13">
        <f t="shared" si="1"/>
        <v>0</v>
      </c>
      <c r="G15" s="11">
        <v>0</v>
      </c>
      <c r="H15" s="186">
        <f t="shared" si="2"/>
        <v>0</v>
      </c>
      <c r="I15" s="11">
        <v>0</v>
      </c>
      <c r="J15" s="11"/>
      <c r="K15" s="11"/>
      <c r="L15" s="11"/>
      <c r="M15" s="11"/>
      <c r="N15" s="11"/>
      <c r="O15" s="11"/>
      <c r="P15" s="252"/>
    </row>
    <row r="16" ht="25" customHeight="1" spans="1:16">
      <c r="A16" s="228" t="s">
        <v>160</v>
      </c>
      <c r="B16" s="11">
        <v>50</v>
      </c>
      <c r="C16" s="15" t="s">
        <v>161</v>
      </c>
      <c r="D16" s="11">
        <v>0</v>
      </c>
      <c r="E16" s="11">
        <f t="shared" si="8"/>
        <v>50</v>
      </c>
      <c r="F16" s="13">
        <f t="shared" si="1"/>
        <v>0</v>
      </c>
      <c r="G16" s="11">
        <f>SUM(I16:P16)</f>
        <v>0</v>
      </c>
      <c r="H16" s="186">
        <f t="shared" si="2"/>
        <v>0</v>
      </c>
      <c r="I16" s="11"/>
      <c r="J16" s="11"/>
      <c r="K16" s="11"/>
      <c r="L16" s="11"/>
      <c r="M16" s="11"/>
      <c r="N16" s="11"/>
      <c r="O16" s="11"/>
      <c r="P16" s="252">
        <v>0</v>
      </c>
    </row>
    <row r="17" ht="25" customHeight="1" spans="1:16">
      <c r="A17" s="225" t="s">
        <v>162</v>
      </c>
      <c r="B17" s="11">
        <f t="shared" ref="B17:P17" si="10">SUM(B18:B22)</f>
        <v>2857.5</v>
      </c>
      <c r="C17" s="189"/>
      <c r="D17" s="11">
        <f t="shared" si="10"/>
        <v>2837.5</v>
      </c>
      <c r="E17" s="11">
        <f t="shared" si="10"/>
        <v>20</v>
      </c>
      <c r="F17" s="13">
        <f t="shared" si="1"/>
        <v>99.3000874890639</v>
      </c>
      <c r="G17" s="11">
        <f t="shared" si="10"/>
        <v>2837.5</v>
      </c>
      <c r="H17" s="11">
        <f t="shared" si="10"/>
        <v>2837.5</v>
      </c>
      <c r="I17" s="11">
        <f t="shared" si="10"/>
        <v>0</v>
      </c>
      <c r="J17" s="11">
        <f t="shared" si="10"/>
        <v>979</v>
      </c>
      <c r="K17" s="11">
        <f t="shared" si="10"/>
        <v>1338.5</v>
      </c>
      <c r="L17" s="11">
        <f t="shared" si="10"/>
        <v>0</v>
      </c>
      <c r="M17" s="11">
        <f t="shared" si="10"/>
        <v>520</v>
      </c>
      <c r="N17" s="11">
        <f t="shared" si="10"/>
        <v>0</v>
      </c>
      <c r="O17" s="11">
        <f t="shared" si="10"/>
        <v>0</v>
      </c>
      <c r="P17" s="252">
        <f t="shared" si="10"/>
        <v>0</v>
      </c>
    </row>
    <row r="18" ht="25" customHeight="1" spans="1:16">
      <c r="A18" s="227" t="s">
        <v>33</v>
      </c>
      <c r="B18" s="11">
        <v>204</v>
      </c>
      <c r="C18" s="15" t="s">
        <v>143</v>
      </c>
      <c r="D18" s="11">
        <v>204</v>
      </c>
      <c r="E18" s="11">
        <f t="shared" ref="E18:E23" si="11">B18-D18</f>
        <v>0</v>
      </c>
      <c r="F18" s="13">
        <f t="shared" si="1"/>
        <v>100</v>
      </c>
      <c r="G18" s="186">
        <f t="shared" ref="G18:G23" si="12">H18+O18+P18</f>
        <v>204</v>
      </c>
      <c r="H18" s="186">
        <f t="shared" ref="H18:H23" si="13">SUM(I18:N18)</f>
        <v>204</v>
      </c>
      <c r="I18" s="11"/>
      <c r="J18" s="11">
        <v>204</v>
      </c>
      <c r="K18" s="11"/>
      <c r="L18" s="11"/>
      <c r="M18" s="11"/>
      <c r="N18" s="11"/>
      <c r="O18" s="11"/>
      <c r="P18" s="252"/>
    </row>
    <row r="19" ht="25" customHeight="1" spans="1:16">
      <c r="A19" s="227" t="s">
        <v>150</v>
      </c>
      <c r="B19" s="11">
        <v>775</v>
      </c>
      <c r="C19" s="15" t="s">
        <v>143</v>
      </c>
      <c r="D19" s="11">
        <v>775</v>
      </c>
      <c r="E19" s="11">
        <f t="shared" si="11"/>
        <v>0</v>
      </c>
      <c r="F19" s="13">
        <f t="shared" si="1"/>
        <v>100</v>
      </c>
      <c r="G19" s="186">
        <f t="shared" si="12"/>
        <v>775</v>
      </c>
      <c r="H19" s="186">
        <f t="shared" si="13"/>
        <v>775</v>
      </c>
      <c r="I19" s="11"/>
      <c r="J19" s="11">
        <v>775</v>
      </c>
      <c r="K19" s="11"/>
      <c r="L19" s="11"/>
      <c r="M19" s="11"/>
      <c r="N19" s="11"/>
      <c r="O19" s="11"/>
      <c r="P19" s="252"/>
    </row>
    <row r="20" ht="25" customHeight="1" spans="1:16">
      <c r="A20" s="227" t="s">
        <v>37</v>
      </c>
      <c r="B20" s="11">
        <v>520</v>
      </c>
      <c r="C20" s="15" t="s">
        <v>163</v>
      </c>
      <c r="D20" s="11">
        <v>520</v>
      </c>
      <c r="E20" s="11">
        <f t="shared" si="11"/>
        <v>0</v>
      </c>
      <c r="F20" s="13">
        <f t="shared" si="1"/>
        <v>100</v>
      </c>
      <c r="G20" s="186">
        <f t="shared" si="12"/>
        <v>520</v>
      </c>
      <c r="H20" s="186">
        <f t="shared" si="13"/>
        <v>520</v>
      </c>
      <c r="I20" s="11"/>
      <c r="J20" s="11"/>
      <c r="K20" s="11"/>
      <c r="L20" s="11"/>
      <c r="M20" s="11">
        <v>520</v>
      </c>
      <c r="N20" s="11"/>
      <c r="O20" s="11"/>
      <c r="P20" s="252"/>
    </row>
    <row r="21" ht="25" customHeight="1" spans="1:16">
      <c r="A21" s="227" t="s">
        <v>150</v>
      </c>
      <c r="B21" s="11">
        <v>1338.5</v>
      </c>
      <c r="C21" s="15" t="s">
        <v>164</v>
      </c>
      <c r="D21" s="11">
        <v>1338.5</v>
      </c>
      <c r="E21" s="11">
        <f t="shared" si="11"/>
        <v>0</v>
      </c>
      <c r="F21" s="13">
        <f t="shared" si="1"/>
        <v>100</v>
      </c>
      <c r="G21" s="186">
        <f t="shared" si="12"/>
        <v>1338.5</v>
      </c>
      <c r="H21" s="186">
        <f t="shared" si="13"/>
        <v>1338.5</v>
      </c>
      <c r="I21" s="11"/>
      <c r="J21" s="11"/>
      <c r="K21" s="11">
        <v>1338.5</v>
      </c>
      <c r="L21" s="11"/>
      <c r="M21" s="11"/>
      <c r="N21" s="11"/>
      <c r="O21" s="11"/>
      <c r="P21" s="252"/>
    </row>
    <row r="22" ht="25" customHeight="1" spans="1:16">
      <c r="A22" s="227" t="s">
        <v>36</v>
      </c>
      <c r="B22" s="11">
        <v>20</v>
      </c>
      <c r="C22" s="15" t="s">
        <v>165</v>
      </c>
      <c r="D22" s="11"/>
      <c r="E22" s="11">
        <f t="shared" si="11"/>
        <v>20</v>
      </c>
      <c r="F22" s="13">
        <f t="shared" si="1"/>
        <v>0</v>
      </c>
      <c r="G22" s="186">
        <f t="shared" si="12"/>
        <v>0</v>
      </c>
      <c r="H22" s="186">
        <f t="shared" si="13"/>
        <v>0</v>
      </c>
      <c r="I22" s="11"/>
      <c r="J22" s="11"/>
      <c r="K22" s="11"/>
      <c r="L22" s="11"/>
      <c r="M22" s="11"/>
      <c r="N22" s="11"/>
      <c r="O22" s="11"/>
      <c r="P22" s="254"/>
    </row>
    <row r="23" ht="25" customHeight="1" spans="1:16">
      <c r="A23" s="225" t="s">
        <v>166</v>
      </c>
      <c r="B23" s="11">
        <v>3000</v>
      </c>
      <c r="C23" s="15" t="s">
        <v>165</v>
      </c>
      <c r="D23" s="11">
        <v>0</v>
      </c>
      <c r="E23" s="11">
        <f t="shared" si="11"/>
        <v>3000</v>
      </c>
      <c r="F23" s="13">
        <f t="shared" si="1"/>
        <v>0</v>
      </c>
      <c r="G23" s="186">
        <f t="shared" si="12"/>
        <v>0</v>
      </c>
      <c r="H23" s="186">
        <f t="shared" si="13"/>
        <v>0</v>
      </c>
      <c r="I23" s="11">
        <v>0</v>
      </c>
      <c r="J23" s="11"/>
      <c r="K23" s="11"/>
      <c r="L23" s="11"/>
      <c r="M23" s="11"/>
      <c r="N23" s="11"/>
      <c r="O23" s="11"/>
      <c r="P23" s="252"/>
    </row>
    <row r="24" ht="25" customHeight="1" spans="1:16">
      <c r="A24" s="205" t="s">
        <v>102</v>
      </c>
      <c r="B24" s="11">
        <f>SUM(B25:B30)</f>
        <v>3000</v>
      </c>
      <c r="C24" s="189"/>
      <c r="D24" s="11">
        <f t="shared" ref="D24:P24" si="14">SUM(D25:D29)</f>
        <v>1271.6</v>
      </c>
      <c r="E24" s="11">
        <f t="shared" si="14"/>
        <v>1078.4</v>
      </c>
      <c r="F24" s="13">
        <f t="shared" si="1"/>
        <v>42.3866666666667</v>
      </c>
      <c r="G24" s="186">
        <f t="shared" si="14"/>
        <v>1271.6</v>
      </c>
      <c r="H24" s="186">
        <f t="shared" si="14"/>
        <v>1271.6</v>
      </c>
      <c r="I24" s="186">
        <f t="shared" si="14"/>
        <v>0</v>
      </c>
      <c r="J24" s="186">
        <f t="shared" si="14"/>
        <v>901.6</v>
      </c>
      <c r="K24" s="186">
        <f t="shared" si="14"/>
        <v>340</v>
      </c>
      <c r="L24" s="186">
        <f t="shared" si="14"/>
        <v>0</v>
      </c>
      <c r="M24" s="186">
        <f t="shared" si="14"/>
        <v>30</v>
      </c>
      <c r="N24" s="186">
        <f t="shared" si="14"/>
        <v>0</v>
      </c>
      <c r="O24" s="186">
        <f t="shared" si="14"/>
        <v>0</v>
      </c>
      <c r="P24" s="186">
        <f t="shared" si="14"/>
        <v>0</v>
      </c>
    </row>
    <row r="25" ht="25" customHeight="1" spans="1:16">
      <c r="A25" s="259" t="s">
        <v>150</v>
      </c>
      <c r="B25" s="11">
        <v>1020</v>
      </c>
      <c r="C25" s="12" t="s">
        <v>167</v>
      </c>
      <c r="D25" s="11">
        <v>901.6</v>
      </c>
      <c r="E25" s="11">
        <f t="shared" ref="E25:E30" si="15">B25-D25</f>
        <v>118.4</v>
      </c>
      <c r="F25" s="13">
        <f t="shared" si="1"/>
        <v>88.3921568627451</v>
      </c>
      <c r="G25" s="186">
        <f t="shared" ref="G25:G29" si="16">H25+O25+P25</f>
        <v>901.6</v>
      </c>
      <c r="H25" s="186">
        <f t="shared" ref="H25:H29" si="17">SUM(I25:N25)</f>
        <v>901.6</v>
      </c>
      <c r="I25" s="11">
        <v>0</v>
      </c>
      <c r="J25" s="11">
        <v>901.6</v>
      </c>
      <c r="K25" s="11"/>
      <c r="L25" s="11"/>
      <c r="M25" s="11"/>
      <c r="N25" s="11"/>
      <c r="O25" s="11"/>
      <c r="P25" s="11"/>
    </row>
    <row r="26" ht="25" customHeight="1" spans="1:16">
      <c r="A26" s="259" t="s">
        <v>37</v>
      </c>
      <c r="B26" s="11">
        <v>100</v>
      </c>
      <c r="C26" s="15" t="s">
        <v>168</v>
      </c>
      <c r="D26" s="11">
        <v>0</v>
      </c>
      <c r="E26" s="11">
        <f t="shared" si="15"/>
        <v>100</v>
      </c>
      <c r="F26" s="13">
        <f t="shared" si="1"/>
        <v>0</v>
      </c>
      <c r="G26" s="186">
        <f t="shared" si="16"/>
        <v>0</v>
      </c>
      <c r="H26" s="186">
        <f t="shared" si="17"/>
        <v>0</v>
      </c>
      <c r="I26" s="11">
        <v>0</v>
      </c>
      <c r="J26" s="11"/>
      <c r="K26" s="11"/>
      <c r="L26" s="11"/>
      <c r="M26" s="11"/>
      <c r="N26" s="11"/>
      <c r="O26" s="11"/>
      <c r="P26" s="11"/>
    </row>
    <row r="27" ht="25" customHeight="1" spans="1:16">
      <c r="A27" s="259" t="s">
        <v>150</v>
      </c>
      <c r="B27" s="11">
        <v>400</v>
      </c>
      <c r="C27" s="12" t="s">
        <v>164</v>
      </c>
      <c r="D27" s="11">
        <v>340</v>
      </c>
      <c r="E27" s="11">
        <f t="shared" si="15"/>
        <v>60</v>
      </c>
      <c r="F27" s="13">
        <f t="shared" si="1"/>
        <v>85</v>
      </c>
      <c r="G27" s="186">
        <f t="shared" si="16"/>
        <v>340</v>
      </c>
      <c r="H27" s="186">
        <f t="shared" si="17"/>
        <v>340</v>
      </c>
      <c r="I27" s="11"/>
      <c r="J27" s="11"/>
      <c r="K27" s="11">
        <v>340</v>
      </c>
      <c r="L27" s="11"/>
      <c r="M27" s="11"/>
      <c r="N27" s="11"/>
      <c r="O27" s="11"/>
      <c r="P27" s="11"/>
    </row>
    <row r="28" ht="25" customHeight="1" spans="1:16">
      <c r="A28" s="259" t="s">
        <v>37</v>
      </c>
      <c r="B28" s="11">
        <v>780</v>
      </c>
      <c r="C28" s="15" t="s">
        <v>163</v>
      </c>
      <c r="D28" s="11">
        <v>30</v>
      </c>
      <c r="E28" s="11">
        <f t="shared" si="15"/>
        <v>750</v>
      </c>
      <c r="F28" s="13">
        <f t="shared" si="1"/>
        <v>3.84615384615385</v>
      </c>
      <c r="G28" s="186">
        <f t="shared" si="16"/>
        <v>30</v>
      </c>
      <c r="H28" s="186">
        <f t="shared" si="17"/>
        <v>30</v>
      </c>
      <c r="I28" s="11"/>
      <c r="J28" s="11"/>
      <c r="K28" s="11"/>
      <c r="L28" s="11">
        <v>0</v>
      </c>
      <c r="M28" s="11">
        <v>30</v>
      </c>
      <c r="N28" s="11"/>
      <c r="O28" s="11"/>
      <c r="P28" s="11"/>
    </row>
    <row r="29" ht="25" customHeight="1" spans="1:16">
      <c r="A29" s="259" t="s">
        <v>150</v>
      </c>
      <c r="B29" s="11">
        <v>50</v>
      </c>
      <c r="C29" s="15" t="s">
        <v>169</v>
      </c>
      <c r="D29" s="11">
        <v>0</v>
      </c>
      <c r="E29" s="11">
        <f t="shared" si="15"/>
        <v>50</v>
      </c>
      <c r="F29" s="13">
        <f t="shared" si="1"/>
        <v>0</v>
      </c>
      <c r="G29" s="186">
        <f t="shared" si="16"/>
        <v>0</v>
      </c>
      <c r="H29" s="186">
        <f t="shared" si="17"/>
        <v>0</v>
      </c>
      <c r="I29" s="11">
        <v>0</v>
      </c>
      <c r="J29" s="11"/>
      <c r="K29" s="11"/>
      <c r="L29" s="11"/>
      <c r="M29" s="11"/>
      <c r="N29" s="11"/>
      <c r="O29" s="11"/>
      <c r="P29" s="11"/>
    </row>
    <row r="30" ht="25" customHeight="1" spans="1:16">
      <c r="A30" s="259" t="s">
        <v>165</v>
      </c>
      <c r="B30" s="11">
        <v>650</v>
      </c>
      <c r="C30" s="15" t="s">
        <v>165</v>
      </c>
      <c r="D30" s="11"/>
      <c r="E30" s="11">
        <f t="shared" si="15"/>
        <v>650</v>
      </c>
      <c r="F30" s="13">
        <f t="shared" si="1"/>
        <v>0</v>
      </c>
      <c r="G30" s="186"/>
      <c r="H30" s="186"/>
      <c r="I30" s="11"/>
      <c r="J30" s="11"/>
      <c r="K30" s="11"/>
      <c r="L30" s="11"/>
      <c r="M30" s="11"/>
      <c r="N30" s="11"/>
      <c r="O30" s="11"/>
      <c r="P30" s="11"/>
    </row>
    <row r="31" ht="25" customHeight="1" spans="1:16">
      <c r="A31" s="259" t="s">
        <v>27</v>
      </c>
      <c r="B31" s="11">
        <f t="shared" ref="B31:G31" si="18">B24+B6</f>
        <v>20272.5</v>
      </c>
      <c r="C31" s="189"/>
      <c r="D31" s="11">
        <f t="shared" si="18"/>
        <v>12282.69</v>
      </c>
      <c r="E31" s="11">
        <f t="shared" si="18"/>
        <v>7339.81</v>
      </c>
      <c r="F31" s="13">
        <f t="shared" si="1"/>
        <v>60.5879393266741</v>
      </c>
      <c r="G31" s="11">
        <f t="shared" si="18"/>
        <v>12282.58263</v>
      </c>
      <c r="H31" s="186">
        <f t="shared" ref="H31:H41" si="19">SUM(I31:N31)</f>
        <v>9165.5</v>
      </c>
      <c r="I31" s="11">
        <f t="shared" ref="I31:L31" si="20">I24+I6</f>
        <v>4615.9</v>
      </c>
      <c r="J31" s="11">
        <f t="shared" si="20"/>
        <v>4549.6</v>
      </c>
      <c r="K31" s="11"/>
      <c r="L31" s="11">
        <f t="shared" si="20"/>
        <v>0</v>
      </c>
      <c r="M31" s="11"/>
      <c r="N31" s="11"/>
      <c r="O31" s="11">
        <f>O24+O6</f>
        <v>168</v>
      </c>
      <c r="P31" s="11"/>
    </row>
    <row r="32" ht="40" customHeight="1" spans="1:16">
      <c r="A32" s="260" t="s">
        <v>170</v>
      </c>
      <c r="B32" s="261">
        <f t="shared" ref="B32:P32" si="21">SUM(B33:B41)</f>
        <v>19622.5</v>
      </c>
      <c r="C32" s="261">
        <f t="shared" si="21"/>
        <v>0</v>
      </c>
      <c r="D32" s="261">
        <f t="shared" si="21"/>
        <v>6215.19</v>
      </c>
      <c r="E32" s="261">
        <f t="shared" si="21"/>
        <v>13407.31</v>
      </c>
      <c r="F32" s="239">
        <f t="shared" si="1"/>
        <v>31.6737928398522</v>
      </c>
      <c r="G32" s="239">
        <f t="shared" si="21"/>
        <v>5772.18875</v>
      </c>
      <c r="H32" s="239">
        <f t="shared" si="21"/>
        <v>5588.18875</v>
      </c>
      <c r="I32" s="239">
        <f t="shared" si="21"/>
        <v>0</v>
      </c>
      <c r="J32" s="239">
        <f t="shared" si="21"/>
        <v>3648</v>
      </c>
      <c r="K32" s="239">
        <f t="shared" si="21"/>
        <v>1678.5</v>
      </c>
      <c r="L32" s="239">
        <f t="shared" si="21"/>
        <v>0</v>
      </c>
      <c r="M32" s="239">
        <f t="shared" si="21"/>
        <v>0</v>
      </c>
      <c r="N32" s="239">
        <f t="shared" si="21"/>
        <v>261.68875</v>
      </c>
      <c r="O32" s="239">
        <f t="shared" si="21"/>
        <v>168</v>
      </c>
      <c r="P32" s="262">
        <f t="shared" si="21"/>
        <v>16</v>
      </c>
    </row>
    <row r="33" ht="40" customHeight="1" spans="1:16">
      <c r="A33" s="227" t="s">
        <v>148</v>
      </c>
      <c r="B33" s="11">
        <f t="shared" ref="B33:B36" si="22">B9</f>
        <v>168</v>
      </c>
      <c r="C33" s="24"/>
      <c r="D33" s="13">
        <f t="shared" ref="D33:D37" si="23">D9</f>
        <v>168</v>
      </c>
      <c r="E33" s="13">
        <f t="shared" ref="E33:E41" si="24">B33-D33</f>
        <v>0</v>
      </c>
      <c r="F33" s="13">
        <f t="shared" si="1"/>
        <v>100</v>
      </c>
      <c r="G33" s="13">
        <f t="shared" ref="G33:G41" si="25">H33+O33+P33</f>
        <v>168</v>
      </c>
      <c r="H33" s="13">
        <f t="shared" si="19"/>
        <v>0</v>
      </c>
      <c r="I33" s="13"/>
      <c r="J33" s="13"/>
      <c r="K33" s="13"/>
      <c r="L33" s="13"/>
      <c r="M33" s="13"/>
      <c r="N33" s="13"/>
      <c r="O33" s="13">
        <v>168</v>
      </c>
      <c r="P33" s="253"/>
    </row>
    <row r="34" ht="40" customHeight="1" spans="1:16">
      <c r="A34" s="227" t="s">
        <v>150</v>
      </c>
      <c r="B34" s="11">
        <f>B10+B19+B21+B25+B27+B29</f>
        <v>8214.5</v>
      </c>
      <c r="C34" s="24"/>
      <c r="D34" s="13">
        <f>D19+D21+D27</f>
        <v>2453.5</v>
      </c>
      <c r="E34" s="13">
        <f t="shared" si="24"/>
        <v>5761</v>
      </c>
      <c r="F34" s="13">
        <f t="shared" si="1"/>
        <v>29.8679164891351</v>
      </c>
      <c r="G34" s="13">
        <f t="shared" si="25"/>
        <v>2453.5</v>
      </c>
      <c r="H34" s="13">
        <f t="shared" si="19"/>
        <v>2453.5</v>
      </c>
      <c r="I34" s="13"/>
      <c r="J34" s="13">
        <v>775</v>
      </c>
      <c r="K34" s="13">
        <f>K27+K21</f>
        <v>1678.5</v>
      </c>
      <c r="L34" s="13"/>
      <c r="M34" s="13"/>
      <c r="N34" s="13"/>
      <c r="O34" s="13"/>
      <c r="P34" s="253"/>
    </row>
    <row r="35" ht="40" customHeight="1" spans="1:16">
      <c r="A35" s="227" t="s">
        <v>152</v>
      </c>
      <c r="B35" s="11">
        <f t="shared" si="22"/>
        <v>2058</v>
      </c>
      <c r="C35" s="24"/>
      <c r="D35" s="13"/>
      <c r="E35" s="13">
        <f t="shared" si="24"/>
        <v>2058</v>
      </c>
      <c r="F35" s="13">
        <f t="shared" si="1"/>
        <v>0</v>
      </c>
      <c r="G35" s="13">
        <f t="shared" si="25"/>
        <v>0</v>
      </c>
      <c r="H35" s="13">
        <f t="shared" si="19"/>
        <v>0</v>
      </c>
      <c r="I35" s="13"/>
      <c r="J35" s="13"/>
      <c r="K35" s="13"/>
      <c r="L35" s="13"/>
      <c r="M35" s="13"/>
      <c r="N35" s="13"/>
      <c r="O35" s="13"/>
      <c r="P35" s="253"/>
    </row>
    <row r="36" ht="40" customHeight="1" spans="1:16">
      <c r="A36" s="227" t="s">
        <v>154</v>
      </c>
      <c r="B36" s="11">
        <f t="shared" si="22"/>
        <v>567</v>
      </c>
      <c r="C36" s="24"/>
      <c r="D36" s="13">
        <f t="shared" si="23"/>
        <v>567</v>
      </c>
      <c r="E36" s="13">
        <f t="shared" si="24"/>
        <v>0</v>
      </c>
      <c r="F36" s="13">
        <f t="shared" si="1"/>
        <v>100</v>
      </c>
      <c r="G36" s="13">
        <f t="shared" si="25"/>
        <v>124</v>
      </c>
      <c r="H36" s="13">
        <f t="shared" si="19"/>
        <v>124</v>
      </c>
      <c r="I36" s="13"/>
      <c r="J36" s="13"/>
      <c r="K36" s="13"/>
      <c r="L36" s="13"/>
      <c r="M36" s="13"/>
      <c r="N36" s="13">
        <v>124</v>
      </c>
      <c r="O36" s="13"/>
      <c r="P36" s="253"/>
    </row>
    <row r="37" ht="40" customHeight="1" spans="1:16">
      <c r="A37" s="227" t="s">
        <v>36</v>
      </c>
      <c r="B37" s="11">
        <f>B13+B22+B23</f>
        <v>3576</v>
      </c>
      <c r="C37" s="24"/>
      <c r="D37" s="13">
        <f t="shared" si="23"/>
        <v>58</v>
      </c>
      <c r="E37" s="13">
        <f t="shared" si="24"/>
        <v>3518</v>
      </c>
      <c r="F37" s="13">
        <f t="shared" si="1"/>
        <v>1.62192393736018</v>
      </c>
      <c r="G37" s="13">
        <f t="shared" si="25"/>
        <v>58</v>
      </c>
      <c r="H37" s="13">
        <f t="shared" si="19"/>
        <v>42</v>
      </c>
      <c r="I37" s="13"/>
      <c r="J37" s="13"/>
      <c r="K37" s="13"/>
      <c r="L37" s="13"/>
      <c r="M37" s="13"/>
      <c r="N37" s="13">
        <v>42</v>
      </c>
      <c r="O37" s="13"/>
      <c r="P37" s="253">
        <v>16</v>
      </c>
    </row>
    <row r="38" ht="40" customHeight="1" spans="1:16">
      <c r="A38" s="227" t="s">
        <v>33</v>
      </c>
      <c r="B38" s="11">
        <f>B14+B18</f>
        <v>3260</v>
      </c>
      <c r="C38" s="24"/>
      <c r="D38" s="13">
        <f>D14+D18</f>
        <v>2968.69</v>
      </c>
      <c r="E38" s="13">
        <f t="shared" si="24"/>
        <v>291.31</v>
      </c>
      <c r="F38" s="13">
        <f t="shared" si="1"/>
        <v>91.0641104294479</v>
      </c>
      <c r="G38" s="13">
        <f t="shared" si="25"/>
        <v>2968.68875</v>
      </c>
      <c r="H38" s="13">
        <f t="shared" si="19"/>
        <v>2968.68875</v>
      </c>
      <c r="I38" s="13"/>
      <c r="J38" s="13">
        <f>J14+J18</f>
        <v>2873</v>
      </c>
      <c r="K38" s="13"/>
      <c r="L38" s="13"/>
      <c r="M38" s="13"/>
      <c r="N38" s="13">
        <f>N14</f>
        <v>95.68875</v>
      </c>
      <c r="O38" s="13"/>
      <c r="P38" s="253"/>
    </row>
    <row r="39" ht="40" customHeight="1" spans="1:16">
      <c r="A39" s="227" t="s">
        <v>56</v>
      </c>
      <c r="B39" s="11">
        <f>B15</f>
        <v>329</v>
      </c>
      <c r="C39" s="24"/>
      <c r="D39" s="13"/>
      <c r="E39" s="13">
        <f t="shared" si="24"/>
        <v>329</v>
      </c>
      <c r="F39" s="13">
        <f t="shared" si="1"/>
        <v>0</v>
      </c>
      <c r="G39" s="13">
        <f t="shared" si="25"/>
        <v>0</v>
      </c>
      <c r="H39" s="13">
        <f t="shared" si="19"/>
        <v>0</v>
      </c>
      <c r="I39" s="13"/>
      <c r="J39" s="13"/>
      <c r="K39" s="13"/>
      <c r="L39" s="13"/>
      <c r="M39" s="13"/>
      <c r="N39" s="13"/>
      <c r="O39" s="13"/>
      <c r="P39" s="253"/>
    </row>
    <row r="40" ht="40" customHeight="1" spans="1:16">
      <c r="A40" s="227" t="s">
        <v>39</v>
      </c>
      <c r="B40" s="11">
        <f>B16</f>
        <v>50</v>
      </c>
      <c r="C40" s="24"/>
      <c r="D40" s="13"/>
      <c r="E40" s="13">
        <f t="shared" si="24"/>
        <v>50</v>
      </c>
      <c r="F40" s="13">
        <f t="shared" si="1"/>
        <v>0</v>
      </c>
      <c r="G40" s="13">
        <f t="shared" si="25"/>
        <v>0</v>
      </c>
      <c r="H40" s="13">
        <f t="shared" si="19"/>
        <v>0</v>
      </c>
      <c r="I40" s="13"/>
      <c r="J40" s="13"/>
      <c r="K40" s="13"/>
      <c r="L40" s="13"/>
      <c r="M40" s="13"/>
      <c r="N40" s="13"/>
      <c r="O40" s="13"/>
      <c r="P40" s="253"/>
    </row>
    <row r="41" ht="40" customHeight="1" spans="1:16">
      <c r="A41" s="231" t="s">
        <v>37</v>
      </c>
      <c r="B41" s="232">
        <f>B20+B26+B28</f>
        <v>1400</v>
      </c>
      <c r="C41" s="240"/>
      <c r="D41" s="234"/>
      <c r="E41" s="234">
        <f t="shared" si="24"/>
        <v>1400</v>
      </c>
      <c r="F41" s="234">
        <f t="shared" si="1"/>
        <v>0</v>
      </c>
      <c r="G41" s="234">
        <f t="shared" si="25"/>
        <v>0</v>
      </c>
      <c r="H41" s="234">
        <f t="shared" si="19"/>
        <v>0</v>
      </c>
      <c r="I41" s="234"/>
      <c r="J41" s="234"/>
      <c r="K41" s="234"/>
      <c r="L41" s="234"/>
      <c r="M41" s="234"/>
      <c r="N41" s="234"/>
      <c r="O41" s="234"/>
      <c r="P41" s="257"/>
    </row>
  </sheetData>
  <mergeCells count="14">
    <mergeCell ref="A1:P1"/>
    <mergeCell ref="C2:K2"/>
    <mergeCell ref="O2:P2"/>
    <mergeCell ref="G3:P3"/>
    <mergeCell ref="H4:N4"/>
    <mergeCell ref="A3:A5"/>
    <mergeCell ref="B3:B5"/>
    <mergeCell ref="C3:C5"/>
    <mergeCell ref="D3:D5"/>
    <mergeCell ref="E3:E5"/>
    <mergeCell ref="F3:F5"/>
    <mergeCell ref="G4:G5"/>
    <mergeCell ref="O4:O5"/>
    <mergeCell ref="P4:P5"/>
  </mergeCells>
  <pageMargins left="0.609027777777778" right="0.354166666666667" top="0.747916666666667" bottom="0.707638888888889" header="0.511805555555556" footer="0.511805555555556"/>
  <pageSetup paperSize="9" scale="56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2"/>
  <sheetViews>
    <sheetView showZeros="0" zoomScale="72" zoomScaleNormal="72" workbookViewId="0">
      <pane xSplit="1" ySplit="5" topLeftCell="B6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35.0666666666667" customWidth="1"/>
    <col min="2" max="2" width="11.6666666666667" customWidth="1"/>
    <col min="3" max="3" width="33.25" customWidth="1"/>
    <col min="4" max="4" width="11.9166666666667" customWidth="1"/>
    <col min="5" max="5" width="12.0833333333333" customWidth="1"/>
    <col min="6" max="6" width="10.75" customWidth="1"/>
    <col min="7" max="7" width="12.15" customWidth="1"/>
    <col min="8" max="8" width="13.1916666666667" customWidth="1"/>
    <col min="9" max="9" width="12.25" customWidth="1"/>
    <col min="10" max="10" width="12.9166666666667" customWidth="1"/>
    <col min="11" max="11" width="13.1666666666667" customWidth="1"/>
    <col min="12" max="12" width="10.5916666666667" customWidth="1"/>
    <col min="13" max="13" width="11.25" customWidth="1"/>
    <col min="14" max="14" width="12.5" customWidth="1"/>
    <col min="15" max="15" width="9.75" customWidth="1"/>
    <col min="16" max="16" width="10.75" customWidth="1"/>
  </cols>
  <sheetData>
    <row r="1" ht="30.5" customHeight="1" spans="1:16">
      <c r="A1" s="258" t="s">
        <v>133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ht="21.5" customHeight="1" spans="1:16">
      <c r="A2" s="2" t="s">
        <v>118</v>
      </c>
      <c r="B2" s="3"/>
      <c r="C2" s="212">
        <v>43602</v>
      </c>
      <c r="D2" s="212"/>
      <c r="E2" s="212"/>
      <c r="F2" s="212"/>
      <c r="G2" s="212"/>
      <c r="H2" s="212"/>
      <c r="I2" s="212"/>
      <c r="J2" s="212"/>
      <c r="K2" s="212"/>
      <c r="L2" s="16"/>
      <c r="M2" s="16"/>
      <c r="N2" s="16"/>
      <c r="O2" s="242" t="s">
        <v>3</v>
      </c>
      <c r="P2" s="242"/>
    </row>
    <row r="3" ht="24" customHeight="1" spans="1:16">
      <c r="A3" s="213" t="s">
        <v>134</v>
      </c>
      <c r="B3" s="214" t="s">
        <v>135</v>
      </c>
      <c r="C3" s="214" t="s">
        <v>62</v>
      </c>
      <c r="D3" s="215" t="s">
        <v>136</v>
      </c>
      <c r="E3" s="216" t="s">
        <v>137</v>
      </c>
      <c r="F3" s="215" t="s">
        <v>7</v>
      </c>
      <c r="G3" s="214" t="s">
        <v>65</v>
      </c>
      <c r="H3" s="214"/>
      <c r="I3" s="214"/>
      <c r="J3" s="214"/>
      <c r="K3" s="214"/>
      <c r="L3" s="214"/>
      <c r="M3" s="214"/>
      <c r="N3" s="214"/>
      <c r="O3" s="214"/>
      <c r="P3" s="243"/>
    </row>
    <row r="4" ht="24" customHeight="1" spans="1:16">
      <c r="A4" s="217"/>
      <c r="B4" s="218"/>
      <c r="C4" s="218"/>
      <c r="D4" s="219"/>
      <c r="E4" s="220"/>
      <c r="F4" s="219"/>
      <c r="G4" s="221" t="s">
        <v>138</v>
      </c>
      <c r="H4" s="222" t="s">
        <v>139</v>
      </c>
      <c r="I4" s="244"/>
      <c r="J4" s="244"/>
      <c r="K4" s="244"/>
      <c r="L4" s="244"/>
      <c r="M4" s="244"/>
      <c r="N4" s="245"/>
      <c r="O4" s="246" t="s">
        <v>140</v>
      </c>
      <c r="P4" s="247" t="s">
        <v>141</v>
      </c>
    </row>
    <row r="5" ht="32" customHeight="1" spans="1:16">
      <c r="A5" s="223"/>
      <c r="B5" s="174"/>
      <c r="C5" s="174"/>
      <c r="D5" s="175"/>
      <c r="E5" s="219"/>
      <c r="F5" s="175"/>
      <c r="G5" s="218"/>
      <c r="H5" s="174" t="s">
        <v>66</v>
      </c>
      <c r="I5" s="174" t="s">
        <v>142</v>
      </c>
      <c r="J5" s="174" t="s">
        <v>143</v>
      </c>
      <c r="K5" s="174" t="s">
        <v>144</v>
      </c>
      <c r="L5" s="175" t="s">
        <v>69</v>
      </c>
      <c r="M5" s="175" t="s">
        <v>145</v>
      </c>
      <c r="N5" s="174" t="s">
        <v>131</v>
      </c>
      <c r="O5" s="248"/>
      <c r="P5" s="249"/>
    </row>
    <row r="6" ht="25" customHeight="1" spans="1:16">
      <c r="A6" s="224" t="s">
        <v>93</v>
      </c>
      <c r="B6" s="186">
        <f>B7+B17+B18+B24</f>
        <v>21527.5</v>
      </c>
      <c r="C6" s="186">
        <f>SUM(C7,C18,C24)</f>
        <v>0</v>
      </c>
      <c r="D6" s="186">
        <f>SUM(D7,D18,D24)</f>
        <v>11202.68</v>
      </c>
      <c r="E6" s="186">
        <f>E7+E17+E18+E24</f>
        <v>10324.82</v>
      </c>
      <c r="F6" s="13">
        <f t="shared" ref="F6:F16" si="0">D6/B6*100</f>
        <v>52.0389269538962</v>
      </c>
      <c r="G6" s="14">
        <f>G7+G17+G18+G24</f>
        <v>11202.68263</v>
      </c>
      <c r="H6" s="186">
        <f>H7+K20</f>
        <v>7476.6</v>
      </c>
      <c r="I6" s="186">
        <f t="shared" ref="I6:P6" si="1">SUM(I7,I18,I24)</f>
        <v>4615.9</v>
      </c>
      <c r="J6" s="186">
        <f t="shared" si="1"/>
        <v>3648</v>
      </c>
      <c r="K6" s="186">
        <f t="shared" si="1"/>
        <v>1338.5</v>
      </c>
      <c r="L6" s="186">
        <f t="shared" si="1"/>
        <v>191.7</v>
      </c>
      <c r="M6" s="186">
        <f t="shared" si="1"/>
        <v>520</v>
      </c>
      <c r="N6" s="14">
        <f t="shared" si="1"/>
        <v>0</v>
      </c>
      <c r="O6" s="186">
        <f t="shared" si="1"/>
        <v>168</v>
      </c>
      <c r="P6" s="250">
        <f t="shared" si="1"/>
        <v>16.241</v>
      </c>
    </row>
    <row r="7" ht="25" customHeight="1" spans="1:16">
      <c r="A7" s="225" t="s">
        <v>146</v>
      </c>
      <c r="B7" s="186">
        <f>SUM(B8,B15,B16)</f>
        <v>11415</v>
      </c>
      <c r="C7" s="186">
        <f t="shared" ref="C7:P7" si="2">SUM(C8,C15,C16)</f>
        <v>0</v>
      </c>
      <c r="D7" s="186">
        <f t="shared" si="2"/>
        <v>8365.18</v>
      </c>
      <c r="E7" s="186">
        <f t="shared" si="2"/>
        <v>3049.82</v>
      </c>
      <c r="F7" s="14">
        <f t="shared" si="2"/>
        <v>75.7990213845596</v>
      </c>
      <c r="G7" s="14">
        <f t="shared" si="2"/>
        <v>8365.18263</v>
      </c>
      <c r="H7" s="186">
        <f t="shared" si="2"/>
        <v>7476.6</v>
      </c>
      <c r="I7" s="186">
        <f t="shared" si="2"/>
        <v>4615.9</v>
      </c>
      <c r="J7" s="186">
        <f t="shared" si="2"/>
        <v>2669</v>
      </c>
      <c r="K7" s="186">
        <f t="shared" si="2"/>
        <v>0</v>
      </c>
      <c r="L7" s="186">
        <f t="shared" si="2"/>
        <v>191.7</v>
      </c>
      <c r="M7" s="186">
        <f t="shared" si="2"/>
        <v>0</v>
      </c>
      <c r="N7" s="14">
        <f t="shared" si="2"/>
        <v>0</v>
      </c>
      <c r="O7" s="186">
        <f t="shared" si="2"/>
        <v>168</v>
      </c>
      <c r="P7" s="250">
        <f t="shared" si="2"/>
        <v>16.241</v>
      </c>
    </row>
    <row r="8" ht="25" customHeight="1" spans="1:16">
      <c r="A8" s="226" t="s">
        <v>147</v>
      </c>
      <c r="B8" s="186">
        <f>SUM(B9:B14)</f>
        <v>11036</v>
      </c>
      <c r="C8" s="187"/>
      <c r="D8" s="186">
        <f t="shared" ref="B8:G8" si="3">SUM(D9:D14)</f>
        <v>8365.18</v>
      </c>
      <c r="E8" s="186">
        <f t="shared" si="3"/>
        <v>2670.82</v>
      </c>
      <c r="F8" s="13">
        <f t="shared" si="0"/>
        <v>75.7990213845596</v>
      </c>
      <c r="G8" s="14">
        <f t="shared" si="3"/>
        <v>8365.18263</v>
      </c>
      <c r="H8" s="186">
        <f t="shared" ref="H6:H16" si="4">SUM(I8:N8)</f>
        <v>7476.6</v>
      </c>
      <c r="I8" s="186">
        <f t="shared" ref="I8:L8" si="5">SUM(I9:I14)</f>
        <v>4615.9</v>
      </c>
      <c r="J8" s="186">
        <f t="shared" si="5"/>
        <v>2669</v>
      </c>
      <c r="K8" s="186"/>
      <c r="L8" s="186">
        <f t="shared" si="5"/>
        <v>191.7</v>
      </c>
      <c r="M8" s="186"/>
      <c r="N8" s="14"/>
      <c r="O8" s="186">
        <f>SUM(O9:O14)</f>
        <v>168</v>
      </c>
      <c r="P8" s="250">
        <f>SUM(P9:P14)</f>
        <v>16.241</v>
      </c>
    </row>
    <row r="9" ht="25" customHeight="1" spans="1:16">
      <c r="A9" s="227" t="s">
        <v>148</v>
      </c>
      <c r="B9" s="11">
        <v>168</v>
      </c>
      <c r="C9" s="15" t="s">
        <v>149</v>
      </c>
      <c r="D9" s="11">
        <v>168</v>
      </c>
      <c r="E9" s="11">
        <f>B9-D9</f>
        <v>0</v>
      </c>
      <c r="F9" s="13">
        <f t="shared" si="0"/>
        <v>100</v>
      </c>
      <c r="G9" s="13">
        <f t="shared" ref="G9:G14" si="6">SUM(I9:P9)</f>
        <v>168</v>
      </c>
      <c r="H9" s="186">
        <f t="shared" si="4"/>
        <v>0</v>
      </c>
      <c r="I9" s="11"/>
      <c r="J9" s="11"/>
      <c r="K9" s="11"/>
      <c r="L9" s="251"/>
      <c r="M9" s="251"/>
      <c r="N9" s="196"/>
      <c r="O9" s="11">
        <v>168</v>
      </c>
      <c r="P9" s="252"/>
    </row>
    <row r="10" ht="45.5" customHeight="1" spans="1:16">
      <c r="A10" s="227" t="s">
        <v>150</v>
      </c>
      <c r="B10" s="11">
        <v>4631</v>
      </c>
      <c r="C10" s="39" t="s">
        <v>151</v>
      </c>
      <c r="D10" s="11">
        <v>4615.9</v>
      </c>
      <c r="E10" s="11">
        <f t="shared" ref="E10:E17" si="7">B10-D10</f>
        <v>15.1000000000004</v>
      </c>
      <c r="F10" s="13">
        <f t="shared" si="0"/>
        <v>99.6739365147916</v>
      </c>
      <c r="G10" s="13">
        <f t="shared" si="6"/>
        <v>4615.9</v>
      </c>
      <c r="H10" s="14">
        <f t="shared" si="4"/>
        <v>4615.9</v>
      </c>
      <c r="I10" s="11">
        <v>4615.9</v>
      </c>
      <c r="J10" s="11"/>
      <c r="K10" s="11"/>
      <c r="L10" s="11"/>
      <c r="M10" s="11"/>
      <c r="N10" s="13"/>
      <c r="O10" s="11"/>
      <c r="P10" s="252"/>
    </row>
    <row r="11" ht="25" customHeight="1" spans="1:16">
      <c r="A11" s="227" t="s">
        <v>152</v>
      </c>
      <c r="B11" s="11">
        <v>2058</v>
      </c>
      <c r="C11" s="15" t="s">
        <v>153</v>
      </c>
      <c r="D11" s="11"/>
      <c r="E11" s="11">
        <f t="shared" si="7"/>
        <v>2058</v>
      </c>
      <c r="F11" s="13">
        <f t="shared" si="0"/>
        <v>0</v>
      </c>
      <c r="G11" s="13">
        <f t="shared" si="6"/>
        <v>0</v>
      </c>
      <c r="H11" s="14">
        <f t="shared" si="4"/>
        <v>0</v>
      </c>
      <c r="I11" s="11"/>
      <c r="J11" s="11"/>
      <c r="K11" s="11"/>
      <c r="L11" s="11"/>
      <c r="M11" s="11"/>
      <c r="N11" s="13"/>
      <c r="O11" s="11"/>
      <c r="P11" s="252"/>
    </row>
    <row r="12" ht="25" customHeight="1" spans="1:16">
      <c r="A12" s="227" t="s">
        <v>154</v>
      </c>
      <c r="B12" s="11">
        <v>567</v>
      </c>
      <c r="C12" s="15" t="s">
        <v>155</v>
      </c>
      <c r="D12" s="11">
        <v>567</v>
      </c>
      <c r="E12" s="11">
        <f t="shared" si="7"/>
        <v>0</v>
      </c>
      <c r="F12" s="13">
        <f t="shared" si="0"/>
        <v>100</v>
      </c>
      <c r="G12" s="13">
        <f t="shared" si="6"/>
        <v>567</v>
      </c>
      <c r="H12" s="14">
        <f t="shared" si="4"/>
        <v>567</v>
      </c>
      <c r="I12" s="251"/>
      <c r="J12" s="11"/>
      <c r="K12" s="11"/>
      <c r="L12" s="11"/>
      <c r="M12" s="11"/>
      <c r="N12" s="13">
        <v>567</v>
      </c>
      <c r="O12" s="11"/>
      <c r="P12" s="252"/>
    </row>
    <row r="13" ht="41.5" customHeight="1" spans="1:16">
      <c r="A13" s="227" t="s">
        <v>36</v>
      </c>
      <c r="B13" s="11">
        <f>176+380</f>
        <v>556</v>
      </c>
      <c r="C13" s="39" t="s">
        <v>156</v>
      </c>
      <c r="D13" s="11">
        <v>249.59</v>
      </c>
      <c r="E13" s="11">
        <f t="shared" si="7"/>
        <v>306.41</v>
      </c>
      <c r="F13" s="13">
        <f t="shared" si="0"/>
        <v>44.8902877697842</v>
      </c>
      <c r="G13" s="13">
        <f t="shared" si="6"/>
        <v>249.59388</v>
      </c>
      <c r="H13" s="14">
        <f t="shared" si="4"/>
        <v>233.35288</v>
      </c>
      <c r="I13" s="11"/>
      <c r="J13" s="11"/>
      <c r="K13" s="11"/>
      <c r="L13" s="11">
        <v>191.7</v>
      </c>
      <c r="M13" s="11"/>
      <c r="N13" s="13">
        <v>41.65288</v>
      </c>
      <c r="O13" s="11"/>
      <c r="P13" s="252">
        <v>16.241</v>
      </c>
    </row>
    <row r="14" ht="45" customHeight="1" spans="1:16">
      <c r="A14" s="227" t="s">
        <v>33</v>
      </c>
      <c r="B14" s="11">
        <f>387+2669</f>
        <v>3056</v>
      </c>
      <c r="C14" s="15" t="s">
        <v>157</v>
      </c>
      <c r="D14" s="11">
        <f>2669+95.69</f>
        <v>2764.69</v>
      </c>
      <c r="E14" s="11">
        <f t="shared" si="7"/>
        <v>291.31</v>
      </c>
      <c r="F14" s="13">
        <f t="shared" si="0"/>
        <v>90.4676047120419</v>
      </c>
      <c r="G14" s="13">
        <f t="shared" si="6"/>
        <v>2764.68875</v>
      </c>
      <c r="H14" s="14">
        <f t="shared" si="4"/>
        <v>2764.68875</v>
      </c>
      <c r="I14" s="11"/>
      <c r="J14" s="11">
        <v>2669</v>
      </c>
      <c r="K14" s="11"/>
      <c r="L14" s="11"/>
      <c r="M14" s="11"/>
      <c r="N14" s="13">
        <v>95.68875</v>
      </c>
      <c r="O14" s="11"/>
      <c r="P14" s="252"/>
    </row>
    <row r="15" ht="25" customHeight="1" spans="1:16">
      <c r="A15" s="228" t="s">
        <v>158</v>
      </c>
      <c r="B15" s="11">
        <v>329</v>
      </c>
      <c r="C15" s="15" t="s">
        <v>159</v>
      </c>
      <c r="D15" s="11">
        <v>0</v>
      </c>
      <c r="E15" s="11">
        <f t="shared" si="7"/>
        <v>329</v>
      </c>
      <c r="F15" s="13">
        <f t="shared" si="0"/>
        <v>0</v>
      </c>
      <c r="G15" s="13">
        <v>0</v>
      </c>
      <c r="H15" s="14">
        <f t="shared" si="4"/>
        <v>0</v>
      </c>
      <c r="I15" s="11">
        <v>0</v>
      </c>
      <c r="J15" s="11"/>
      <c r="K15" s="11"/>
      <c r="L15" s="11"/>
      <c r="M15" s="11"/>
      <c r="N15" s="13"/>
      <c r="O15" s="11"/>
      <c r="P15" s="252"/>
    </row>
    <row r="16" ht="25" customHeight="1" spans="1:16">
      <c r="A16" s="228" t="s">
        <v>160</v>
      </c>
      <c r="B16" s="11">
        <v>50</v>
      </c>
      <c r="C16" s="15" t="s">
        <v>161</v>
      </c>
      <c r="D16" s="11">
        <v>0</v>
      </c>
      <c r="E16" s="11">
        <f t="shared" si="7"/>
        <v>50</v>
      </c>
      <c r="F16" s="13">
        <f t="shared" si="0"/>
        <v>0</v>
      </c>
      <c r="G16" s="13">
        <f>SUM(I16:P16)</f>
        <v>0</v>
      </c>
      <c r="H16" s="14">
        <f t="shared" si="4"/>
        <v>0</v>
      </c>
      <c r="I16" s="11"/>
      <c r="J16" s="11"/>
      <c r="K16" s="11"/>
      <c r="L16" s="11"/>
      <c r="M16" s="11"/>
      <c r="N16" s="13"/>
      <c r="O16" s="11"/>
      <c r="P16" s="252">
        <v>0</v>
      </c>
    </row>
    <row r="17" ht="25" customHeight="1" spans="1:16">
      <c r="A17" s="225" t="s">
        <v>171</v>
      </c>
      <c r="B17" s="11">
        <v>4255</v>
      </c>
      <c r="C17" s="15" t="s">
        <v>165</v>
      </c>
      <c r="D17" s="11"/>
      <c r="E17" s="11">
        <f t="shared" si="7"/>
        <v>4255</v>
      </c>
      <c r="F17" s="13"/>
      <c r="G17" s="13"/>
      <c r="H17" s="14"/>
      <c r="I17" s="11"/>
      <c r="J17" s="11"/>
      <c r="K17" s="11"/>
      <c r="L17" s="11"/>
      <c r="M17" s="11"/>
      <c r="N17" s="13"/>
      <c r="O17" s="11"/>
      <c r="P17" s="252"/>
    </row>
    <row r="18" ht="25" customHeight="1" spans="1:16">
      <c r="A18" s="229" t="s">
        <v>172</v>
      </c>
      <c r="B18" s="11">
        <f t="shared" ref="B18:P18" si="8">SUM(B19:B23)</f>
        <v>2857.5</v>
      </c>
      <c r="C18" s="189"/>
      <c r="D18" s="11">
        <f t="shared" si="8"/>
        <v>2837.5</v>
      </c>
      <c r="E18" s="11">
        <f t="shared" si="8"/>
        <v>20</v>
      </c>
      <c r="F18" s="13">
        <f t="shared" ref="F18:F42" si="9">D18/B18*100</f>
        <v>99.3000874890639</v>
      </c>
      <c r="G18" s="13">
        <f t="shared" si="8"/>
        <v>2837.5</v>
      </c>
      <c r="H18" s="13">
        <f t="shared" si="8"/>
        <v>2837.5</v>
      </c>
      <c r="I18" s="11">
        <f t="shared" si="8"/>
        <v>0</v>
      </c>
      <c r="J18" s="11">
        <f t="shared" si="8"/>
        <v>979</v>
      </c>
      <c r="K18" s="11">
        <f t="shared" si="8"/>
        <v>1338.5</v>
      </c>
      <c r="L18" s="11">
        <f t="shared" si="8"/>
        <v>0</v>
      </c>
      <c r="M18" s="11">
        <f t="shared" si="8"/>
        <v>520</v>
      </c>
      <c r="N18" s="13">
        <f t="shared" si="8"/>
        <v>0</v>
      </c>
      <c r="O18" s="11">
        <f t="shared" si="8"/>
        <v>0</v>
      </c>
      <c r="P18" s="252">
        <f t="shared" si="8"/>
        <v>0</v>
      </c>
    </row>
    <row r="19" ht="25" customHeight="1" spans="1:16">
      <c r="A19" s="227" t="s">
        <v>33</v>
      </c>
      <c r="B19" s="11">
        <v>204</v>
      </c>
      <c r="C19" s="15" t="s">
        <v>143</v>
      </c>
      <c r="D19" s="11">
        <v>204</v>
      </c>
      <c r="E19" s="11">
        <f t="shared" ref="E19:E24" si="10">B19-D19</f>
        <v>0</v>
      </c>
      <c r="F19" s="13">
        <f t="shared" si="9"/>
        <v>100</v>
      </c>
      <c r="G19" s="14">
        <f t="shared" ref="G19:G24" si="11">H19+O19+P19</f>
        <v>204</v>
      </c>
      <c r="H19" s="14">
        <f t="shared" ref="H19:H24" si="12">SUM(I19:N19)</f>
        <v>204</v>
      </c>
      <c r="I19" s="11"/>
      <c r="J19" s="11">
        <v>204</v>
      </c>
      <c r="K19" s="11"/>
      <c r="L19" s="11"/>
      <c r="M19" s="11"/>
      <c r="N19" s="13"/>
      <c r="O19" s="11"/>
      <c r="P19" s="252"/>
    </row>
    <row r="20" ht="25" customHeight="1" spans="1:16">
      <c r="A20" s="227" t="s">
        <v>150</v>
      </c>
      <c r="B20" s="11">
        <v>775</v>
      </c>
      <c r="C20" s="15" t="s">
        <v>143</v>
      </c>
      <c r="D20" s="11">
        <v>775</v>
      </c>
      <c r="E20" s="11">
        <f t="shared" si="10"/>
        <v>0</v>
      </c>
      <c r="F20" s="13">
        <f t="shared" si="9"/>
        <v>100</v>
      </c>
      <c r="G20" s="14">
        <f t="shared" si="11"/>
        <v>775</v>
      </c>
      <c r="H20" s="14">
        <f t="shared" si="12"/>
        <v>775</v>
      </c>
      <c r="I20" s="11"/>
      <c r="J20" s="11">
        <v>775</v>
      </c>
      <c r="K20" s="11"/>
      <c r="L20" s="11"/>
      <c r="M20" s="11"/>
      <c r="N20" s="13"/>
      <c r="O20" s="11"/>
      <c r="P20" s="252"/>
    </row>
    <row r="21" ht="25" customHeight="1" spans="1:16">
      <c r="A21" s="227" t="s">
        <v>37</v>
      </c>
      <c r="B21" s="11">
        <v>520</v>
      </c>
      <c r="C21" s="15" t="s">
        <v>163</v>
      </c>
      <c r="D21" s="11">
        <v>520</v>
      </c>
      <c r="E21" s="11">
        <f t="shared" si="10"/>
        <v>0</v>
      </c>
      <c r="F21" s="13">
        <f t="shared" si="9"/>
        <v>100</v>
      </c>
      <c r="G21" s="14">
        <f t="shared" si="11"/>
        <v>520</v>
      </c>
      <c r="H21" s="14">
        <f t="shared" si="12"/>
        <v>520</v>
      </c>
      <c r="I21" s="11"/>
      <c r="J21" s="11"/>
      <c r="K21" s="11"/>
      <c r="L21" s="11"/>
      <c r="M21" s="11">
        <v>520</v>
      </c>
      <c r="N21" s="13"/>
      <c r="O21" s="11"/>
      <c r="P21" s="252"/>
    </row>
    <row r="22" ht="25" customHeight="1" spans="1:16">
      <c r="A22" s="227" t="s">
        <v>150</v>
      </c>
      <c r="B22" s="11">
        <v>1338.5</v>
      </c>
      <c r="C22" s="15" t="s">
        <v>164</v>
      </c>
      <c r="D22" s="11">
        <v>1338.5</v>
      </c>
      <c r="E22" s="11">
        <f t="shared" si="10"/>
        <v>0</v>
      </c>
      <c r="F22" s="13">
        <f t="shared" si="9"/>
        <v>100</v>
      </c>
      <c r="G22" s="14">
        <f t="shared" si="11"/>
        <v>1338.5</v>
      </c>
      <c r="H22" s="14">
        <f t="shared" si="12"/>
        <v>1338.5</v>
      </c>
      <c r="I22" s="11"/>
      <c r="J22" s="11"/>
      <c r="K22" s="11">
        <v>1338.5</v>
      </c>
      <c r="L22" s="11"/>
      <c r="M22" s="11"/>
      <c r="N22" s="13"/>
      <c r="O22" s="11"/>
      <c r="P22" s="252"/>
    </row>
    <row r="23" ht="25" customHeight="1" spans="1:16">
      <c r="A23" s="227" t="s">
        <v>36</v>
      </c>
      <c r="B23" s="11">
        <v>20</v>
      </c>
      <c r="C23" s="15" t="s">
        <v>165</v>
      </c>
      <c r="D23" s="11"/>
      <c r="E23" s="11">
        <f t="shared" si="10"/>
        <v>20</v>
      </c>
      <c r="F23" s="13">
        <f t="shared" si="9"/>
        <v>0</v>
      </c>
      <c r="G23" s="14">
        <f t="shared" si="11"/>
        <v>0</v>
      </c>
      <c r="H23" s="186">
        <f t="shared" si="12"/>
        <v>0</v>
      </c>
      <c r="I23" s="11"/>
      <c r="J23" s="11"/>
      <c r="K23" s="11"/>
      <c r="L23" s="11"/>
      <c r="M23" s="11"/>
      <c r="N23" s="13"/>
      <c r="O23" s="11"/>
      <c r="P23" s="254"/>
    </row>
    <row r="24" ht="25" customHeight="1" spans="1:16">
      <c r="A24" s="225" t="s">
        <v>173</v>
      </c>
      <c r="B24" s="11">
        <v>3000</v>
      </c>
      <c r="C24" s="15" t="s">
        <v>165</v>
      </c>
      <c r="D24" s="11">
        <v>0</v>
      </c>
      <c r="E24" s="11">
        <f t="shared" si="10"/>
        <v>3000</v>
      </c>
      <c r="F24" s="13">
        <f t="shared" si="9"/>
        <v>0</v>
      </c>
      <c r="G24" s="14">
        <f t="shared" si="11"/>
        <v>0</v>
      </c>
      <c r="H24" s="186">
        <f t="shared" si="12"/>
        <v>0</v>
      </c>
      <c r="I24" s="11">
        <v>0</v>
      </c>
      <c r="J24" s="11"/>
      <c r="K24" s="11"/>
      <c r="L24" s="11"/>
      <c r="M24" s="11"/>
      <c r="N24" s="13"/>
      <c r="O24" s="11"/>
      <c r="P24" s="252"/>
    </row>
    <row r="25" ht="25" customHeight="1" spans="1:16">
      <c r="A25" s="230" t="s">
        <v>102</v>
      </c>
      <c r="B25" s="11">
        <f>SUM(B26:B31)</f>
        <v>3000</v>
      </c>
      <c r="C25" s="189"/>
      <c r="D25" s="11">
        <f t="shared" ref="D25:P25" si="13">SUM(D26:D30)</f>
        <v>1271.6</v>
      </c>
      <c r="E25" s="11">
        <f t="shared" si="13"/>
        <v>1078.4</v>
      </c>
      <c r="F25" s="13">
        <f t="shared" si="9"/>
        <v>42.3866666666667</v>
      </c>
      <c r="G25" s="14">
        <f t="shared" si="13"/>
        <v>1271.6</v>
      </c>
      <c r="H25" s="186">
        <f t="shared" si="13"/>
        <v>1271.6</v>
      </c>
      <c r="I25" s="186">
        <f t="shared" si="13"/>
        <v>0</v>
      </c>
      <c r="J25" s="186">
        <f t="shared" si="13"/>
        <v>901.6</v>
      </c>
      <c r="K25" s="186">
        <f t="shared" si="13"/>
        <v>340</v>
      </c>
      <c r="L25" s="186">
        <f t="shared" si="13"/>
        <v>0</v>
      </c>
      <c r="M25" s="186">
        <f t="shared" si="13"/>
        <v>30</v>
      </c>
      <c r="N25" s="14">
        <f t="shared" si="13"/>
        <v>0</v>
      </c>
      <c r="O25" s="186">
        <f t="shared" si="13"/>
        <v>0</v>
      </c>
      <c r="P25" s="250">
        <f t="shared" si="13"/>
        <v>0</v>
      </c>
    </row>
    <row r="26" ht="25" customHeight="1" spans="1:16">
      <c r="A26" s="227" t="s">
        <v>150</v>
      </c>
      <c r="B26" s="11">
        <v>1020</v>
      </c>
      <c r="C26" s="12" t="s">
        <v>167</v>
      </c>
      <c r="D26" s="11">
        <v>901.6</v>
      </c>
      <c r="E26" s="11">
        <f t="shared" ref="E26:E31" si="14">B26-D26</f>
        <v>118.4</v>
      </c>
      <c r="F26" s="13">
        <f t="shared" si="9"/>
        <v>88.3921568627451</v>
      </c>
      <c r="G26" s="14">
        <f t="shared" ref="G26:G30" si="15">H26+O26+P26</f>
        <v>901.6</v>
      </c>
      <c r="H26" s="186">
        <f t="shared" ref="H26:H30" si="16">SUM(I26:N26)</f>
        <v>901.6</v>
      </c>
      <c r="I26" s="11">
        <v>0</v>
      </c>
      <c r="J26" s="11">
        <v>901.6</v>
      </c>
      <c r="K26" s="11"/>
      <c r="L26" s="11"/>
      <c r="M26" s="11"/>
      <c r="N26" s="13"/>
      <c r="O26" s="11"/>
      <c r="P26" s="252"/>
    </row>
    <row r="27" ht="25" customHeight="1" spans="1:16">
      <c r="A27" s="227" t="s">
        <v>37</v>
      </c>
      <c r="B27" s="11">
        <v>100</v>
      </c>
      <c r="C27" s="15" t="s">
        <v>168</v>
      </c>
      <c r="D27" s="11">
        <v>0</v>
      </c>
      <c r="E27" s="11">
        <f t="shared" si="14"/>
        <v>100</v>
      </c>
      <c r="F27" s="13">
        <f t="shared" si="9"/>
        <v>0</v>
      </c>
      <c r="G27" s="14">
        <f t="shared" si="15"/>
        <v>0</v>
      </c>
      <c r="H27" s="186">
        <f t="shared" si="16"/>
        <v>0</v>
      </c>
      <c r="I27" s="11">
        <v>0</v>
      </c>
      <c r="J27" s="11"/>
      <c r="K27" s="11"/>
      <c r="L27" s="11"/>
      <c r="M27" s="11"/>
      <c r="N27" s="11"/>
      <c r="O27" s="11"/>
      <c r="P27" s="252"/>
    </row>
    <row r="28" ht="25" customHeight="1" spans="1:16">
      <c r="A28" s="227" t="s">
        <v>150</v>
      </c>
      <c r="B28" s="11">
        <v>400</v>
      </c>
      <c r="C28" s="12" t="s">
        <v>164</v>
      </c>
      <c r="D28" s="11">
        <v>340</v>
      </c>
      <c r="E28" s="11">
        <f t="shared" si="14"/>
        <v>60</v>
      </c>
      <c r="F28" s="13">
        <f t="shared" si="9"/>
        <v>85</v>
      </c>
      <c r="G28" s="14">
        <f t="shared" si="15"/>
        <v>340</v>
      </c>
      <c r="H28" s="186">
        <f t="shared" si="16"/>
        <v>340</v>
      </c>
      <c r="I28" s="11"/>
      <c r="J28" s="11"/>
      <c r="K28" s="11">
        <v>340</v>
      </c>
      <c r="L28" s="11"/>
      <c r="M28" s="11"/>
      <c r="N28" s="11"/>
      <c r="O28" s="11"/>
      <c r="P28" s="252"/>
    </row>
    <row r="29" ht="25" customHeight="1" spans="1:16">
      <c r="A29" s="227" t="s">
        <v>37</v>
      </c>
      <c r="B29" s="11">
        <v>780</v>
      </c>
      <c r="C29" s="15" t="s">
        <v>163</v>
      </c>
      <c r="D29" s="11">
        <v>30</v>
      </c>
      <c r="E29" s="11">
        <f t="shared" si="14"/>
        <v>750</v>
      </c>
      <c r="F29" s="13">
        <f t="shared" si="9"/>
        <v>3.84615384615385</v>
      </c>
      <c r="G29" s="14">
        <f t="shared" si="15"/>
        <v>30</v>
      </c>
      <c r="H29" s="186">
        <f t="shared" si="16"/>
        <v>30</v>
      </c>
      <c r="I29" s="11"/>
      <c r="J29" s="11"/>
      <c r="K29" s="11"/>
      <c r="L29" s="11">
        <v>0</v>
      </c>
      <c r="M29" s="11">
        <v>30</v>
      </c>
      <c r="N29" s="11"/>
      <c r="O29" s="11"/>
      <c r="P29" s="252"/>
    </row>
    <row r="30" ht="25" customHeight="1" spans="1:16">
      <c r="A30" s="227" t="s">
        <v>150</v>
      </c>
      <c r="B30" s="11">
        <v>50</v>
      </c>
      <c r="C30" s="15" t="s">
        <v>169</v>
      </c>
      <c r="D30" s="11">
        <v>0</v>
      </c>
      <c r="E30" s="11">
        <f t="shared" si="14"/>
        <v>50</v>
      </c>
      <c r="F30" s="13">
        <f t="shared" si="9"/>
        <v>0</v>
      </c>
      <c r="G30" s="14">
        <f t="shared" si="15"/>
        <v>0</v>
      </c>
      <c r="H30" s="186">
        <f t="shared" si="16"/>
        <v>0</v>
      </c>
      <c r="I30" s="11">
        <v>0</v>
      </c>
      <c r="J30" s="11"/>
      <c r="K30" s="11"/>
      <c r="L30" s="11"/>
      <c r="M30" s="11"/>
      <c r="N30" s="11"/>
      <c r="O30" s="11"/>
      <c r="P30" s="252"/>
    </row>
    <row r="31" ht="25" customHeight="1" spans="1:16">
      <c r="A31" s="227" t="s">
        <v>165</v>
      </c>
      <c r="B31" s="11">
        <v>650</v>
      </c>
      <c r="C31" s="15" t="s">
        <v>165</v>
      </c>
      <c r="D31" s="11"/>
      <c r="E31" s="11">
        <f t="shared" si="14"/>
        <v>650</v>
      </c>
      <c r="F31" s="13">
        <f t="shared" si="9"/>
        <v>0</v>
      </c>
      <c r="G31" s="14"/>
      <c r="H31" s="186"/>
      <c r="I31" s="11"/>
      <c r="J31" s="11"/>
      <c r="K31" s="11"/>
      <c r="L31" s="11"/>
      <c r="M31" s="11"/>
      <c r="N31" s="11"/>
      <c r="O31" s="11"/>
      <c r="P31" s="252"/>
    </row>
    <row r="32" ht="25" customHeight="1" spans="1:16">
      <c r="A32" s="231" t="s">
        <v>27</v>
      </c>
      <c r="B32" s="232">
        <f>B25+B6</f>
        <v>24527.5</v>
      </c>
      <c r="C32" s="233"/>
      <c r="D32" s="232">
        <f t="shared" ref="B32:G32" si="17">D25+D6</f>
        <v>12474.28</v>
      </c>
      <c r="E32" s="232">
        <f t="shared" si="17"/>
        <v>11403.22</v>
      </c>
      <c r="F32" s="234">
        <f t="shared" si="9"/>
        <v>50.8583426765875</v>
      </c>
      <c r="G32" s="234">
        <f t="shared" si="17"/>
        <v>12474.28263</v>
      </c>
      <c r="H32" s="235">
        <f>SUM(I32:N32)</f>
        <v>9357.2</v>
      </c>
      <c r="I32" s="232">
        <f t="shared" ref="I32:L32" si="18">I25+I6</f>
        <v>4615.9</v>
      </c>
      <c r="J32" s="232">
        <f t="shared" si="18"/>
        <v>4549.6</v>
      </c>
      <c r="K32" s="232"/>
      <c r="L32" s="232">
        <f t="shared" si="18"/>
        <v>191.7</v>
      </c>
      <c r="M32" s="232"/>
      <c r="N32" s="232"/>
      <c r="O32" s="232">
        <f>O25+O6</f>
        <v>168</v>
      </c>
      <c r="P32" s="255"/>
    </row>
    <row r="33" ht="40" customHeight="1" spans="1:16">
      <c r="A33" s="236" t="s">
        <v>170</v>
      </c>
      <c r="B33" s="237">
        <f t="shared" ref="B33:P33" si="19">SUM(B34:B42)</f>
        <v>19622.5</v>
      </c>
      <c r="C33" s="237">
        <f t="shared" si="19"/>
        <v>0</v>
      </c>
      <c r="D33" s="238">
        <f t="shared" si="19"/>
        <v>12474.28263</v>
      </c>
      <c r="E33" s="237">
        <f t="shared" si="19"/>
        <v>7148.21737</v>
      </c>
      <c r="F33" s="238">
        <f t="shared" si="9"/>
        <v>63.5713218499172</v>
      </c>
      <c r="G33" s="238">
        <f>H33+O33+P33</f>
        <v>12474.28263</v>
      </c>
      <c r="H33" s="238">
        <f>SUM(H34:H42)</f>
        <v>12290.04163</v>
      </c>
      <c r="I33" s="238">
        <f t="shared" si="19"/>
        <v>4615.9</v>
      </c>
      <c r="J33" s="238">
        <f t="shared" si="19"/>
        <v>4549.6</v>
      </c>
      <c r="K33" s="238">
        <f t="shared" si="19"/>
        <v>1678.5</v>
      </c>
      <c r="L33" s="238">
        <f t="shared" si="19"/>
        <v>191.7</v>
      </c>
      <c r="M33" s="238">
        <f t="shared" si="19"/>
        <v>550</v>
      </c>
      <c r="N33" s="238">
        <f t="shared" si="19"/>
        <v>704.34163</v>
      </c>
      <c r="O33" s="238">
        <f t="shared" si="19"/>
        <v>168</v>
      </c>
      <c r="P33" s="256">
        <f t="shared" si="19"/>
        <v>16.241</v>
      </c>
    </row>
    <row r="34" ht="40" customHeight="1" spans="1:16">
      <c r="A34" s="227" t="s">
        <v>148</v>
      </c>
      <c r="B34" s="11">
        <f t="shared" ref="B34:B37" si="20">B9</f>
        <v>168</v>
      </c>
      <c r="C34" s="24"/>
      <c r="D34" s="13">
        <v>168</v>
      </c>
      <c r="E34" s="13">
        <f t="shared" ref="E34:E42" si="21">B34-D34</f>
        <v>0</v>
      </c>
      <c r="F34" s="13">
        <f t="shared" si="9"/>
        <v>100</v>
      </c>
      <c r="G34" s="239">
        <f t="shared" ref="G34:G42" si="22">H34+O34+P34</f>
        <v>168</v>
      </c>
      <c r="H34" s="13">
        <f>SUM(I34:N34)</f>
        <v>0</v>
      </c>
      <c r="I34" s="13"/>
      <c r="J34" s="13"/>
      <c r="K34" s="13"/>
      <c r="L34" s="13"/>
      <c r="M34" s="13"/>
      <c r="N34" s="13"/>
      <c r="O34" s="13">
        <v>168</v>
      </c>
      <c r="P34" s="253"/>
    </row>
    <row r="35" ht="40" customHeight="1" spans="1:16">
      <c r="A35" s="227" t="s">
        <v>150</v>
      </c>
      <c r="B35" s="11">
        <f>B10+B20+B22+B26+B28+B30</f>
        <v>8214.5</v>
      </c>
      <c r="C35" s="24"/>
      <c r="D35" s="13">
        <v>7971</v>
      </c>
      <c r="E35" s="13">
        <f t="shared" si="21"/>
        <v>243.5</v>
      </c>
      <c r="F35" s="13">
        <f t="shared" si="9"/>
        <v>97.0357295027086</v>
      </c>
      <c r="G35" s="239">
        <f t="shared" si="22"/>
        <v>7971</v>
      </c>
      <c r="H35" s="13">
        <f t="shared" ref="H35:H42" si="23">SUM(I35:N35)</f>
        <v>7971</v>
      </c>
      <c r="I35" s="13">
        <v>4615.9</v>
      </c>
      <c r="J35" s="13">
        <f>J20+J26</f>
        <v>1676.6</v>
      </c>
      <c r="K35" s="13">
        <f>K28+K22</f>
        <v>1678.5</v>
      </c>
      <c r="L35" s="13"/>
      <c r="M35" s="13"/>
      <c r="N35" s="13"/>
      <c r="O35" s="13"/>
      <c r="P35" s="253"/>
    </row>
    <row r="36" ht="40" customHeight="1" spans="1:16">
      <c r="A36" s="227" t="s">
        <v>152</v>
      </c>
      <c r="B36" s="11">
        <f t="shared" si="20"/>
        <v>2058</v>
      </c>
      <c r="C36" s="24"/>
      <c r="D36" s="13">
        <v>0</v>
      </c>
      <c r="E36" s="13">
        <f t="shared" si="21"/>
        <v>2058</v>
      </c>
      <c r="F36" s="13">
        <f t="shared" si="9"/>
        <v>0</v>
      </c>
      <c r="G36" s="239">
        <f t="shared" si="22"/>
        <v>0</v>
      </c>
      <c r="H36" s="13">
        <f t="shared" si="23"/>
        <v>0</v>
      </c>
      <c r="I36" s="13"/>
      <c r="J36" s="13"/>
      <c r="K36" s="13"/>
      <c r="L36" s="13"/>
      <c r="M36" s="13"/>
      <c r="N36" s="13"/>
      <c r="O36" s="13"/>
      <c r="P36" s="253"/>
    </row>
    <row r="37" ht="40" customHeight="1" spans="1:16">
      <c r="A37" s="227" t="s">
        <v>154</v>
      </c>
      <c r="B37" s="11">
        <f t="shared" si="20"/>
        <v>567</v>
      </c>
      <c r="C37" s="24"/>
      <c r="D37" s="13">
        <v>567</v>
      </c>
      <c r="E37" s="13">
        <f t="shared" si="21"/>
        <v>0</v>
      </c>
      <c r="F37" s="13">
        <f t="shared" si="9"/>
        <v>100</v>
      </c>
      <c r="G37" s="239">
        <f t="shared" si="22"/>
        <v>567</v>
      </c>
      <c r="H37" s="13">
        <f t="shared" si="23"/>
        <v>567</v>
      </c>
      <c r="I37" s="13"/>
      <c r="J37" s="13"/>
      <c r="K37" s="13"/>
      <c r="L37" s="13"/>
      <c r="M37" s="13"/>
      <c r="N37" s="13">
        <v>567</v>
      </c>
      <c r="O37" s="13"/>
      <c r="P37" s="253"/>
    </row>
    <row r="38" ht="40" customHeight="1" spans="1:16">
      <c r="A38" s="227" t="s">
        <v>36</v>
      </c>
      <c r="B38" s="11">
        <f>B13+B23+B24</f>
        <v>3576</v>
      </c>
      <c r="C38" s="24"/>
      <c r="D38" s="13">
        <v>249.59388</v>
      </c>
      <c r="E38" s="13">
        <f t="shared" si="21"/>
        <v>3326.40612</v>
      </c>
      <c r="F38" s="13">
        <f t="shared" si="9"/>
        <v>6.97969463087248</v>
      </c>
      <c r="G38" s="239">
        <f t="shared" si="22"/>
        <v>249.59388</v>
      </c>
      <c r="H38" s="13">
        <f t="shared" si="23"/>
        <v>233.35288</v>
      </c>
      <c r="I38" s="13"/>
      <c r="J38" s="13"/>
      <c r="K38" s="13"/>
      <c r="L38" s="13">
        <v>191.7</v>
      </c>
      <c r="M38" s="13"/>
      <c r="N38" s="13">
        <f>N13</f>
        <v>41.65288</v>
      </c>
      <c r="O38" s="13">
        <f>O13</f>
        <v>0</v>
      </c>
      <c r="P38" s="253">
        <f>P13</f>
        <v>16.241</v>
      </c>
    </row>
    <row r="39" ht="40" customHeight="1" spans="1:16">
      <c r="A39" s="227" t="s">
        <v>33</v>
      </c>
      <c r="B39" s="11">
        <f>B14+B19</f>
        <v>3260</v>
      </c>
      <c r="C39" s="24"/>
      <c r="D39" s="13">
        <v>2968.68875</v>
      </c>
      <c r="E39" s="13">
        <f t="shared" si="21"/>
        <v>291.31125</v>
      </c>
      <c r="F39" s="13">
        <f t="shared" si="9"/>
        <v>91.0640720858896</v>
      </c>
      <c r="G39" s="239">
        <f t="shared" si="22"/>
        <v>2968.68875</v>
      </c>
      <c r="H39" s="13">
        <f t="shared" si="23"/>
        <v>2968.68875</v>
      </c>
      <c r="I39" s="13"/>
      <c r="J39" s="13">
        <f>J14+J19</f>
        <v>2873</v>
      </c>
      <c r="K39" s="13"/>
      <c r="L39" s="13"/>
      <c r="M39" s="13"/>
      <c r="N39" s="13">
        <f>N14</f>
        <v>95.68875</v>
      </c>
      <c r="O39" s="13"/>
      <c r="P39" s="253"/>
    </row>
    <row r="40" ht="40" customHeight="1" spans="1:16">
      <c r="A40" s="227" t="s">
        <v>56</v>
      </c>
      <c r="B40" s="11">
        <f>B15</f>
        <v>329</v>
      </c>
      <c r="C40" s="24"/>
      <c r="D40" s="13">
        <v>0</v>
      </c>
      <c r="E40" s="13">
        <f t="shared" si="21"/>
        <v>329</v>
      </c>
      <c r="F40" s="13">
        <f t="shared" si="9"/>
        <v>0</v>
      </c>
      <c r="G40" s="239">
        <f t="shared" si="22"/>
        <v>0</v>
      </c>
      <c r="H40" s="13">
        <f t="shared" si="23"/>
        <v>0</v>
      </c>
      <c r="I40" s="13"/>
      <c r="J40" s="13"/>
      <c r="K40" s="13"/>
      <c r="L40" s="13"/>
      <c r="M40" s="13"/>
      <c r="N40" s="13"/>
      <c r="O40" s="13"/>
      <c r="P40" s="253"/>
    </row>
    <row r="41" ht="40" customHeight="1" spans="1:16">
      <c r="A41" s="227" t="s">
        <v>39</v>
      </c>
      <c r="B41" s="11">
        <f>B16</f>
        <v>50</v>
      </c>
      <c r="C41" s="24"/>
      <c r="D41" s="13">
        <v>0</v>
      </c>
      <c r="E41" s="13">
        <f t="shared" si="21"/>
        <v>50</v>
      </c>
      <c r="F41" s="13">
        <f t="shared" si="9"/>
        <v>0</v>
      </c>
      <c r="G41" s="239">
        <f t="shared" si="22"/>
        <v>0</v>
      </c>
      <c r="H41" s="13">
        <f t="shared" si="23"/>
        <v>0</v>
      </c>
      <c r="I41" s="13"/>
      <c r="J41" s="13"/>
      <c r="K41" s="13"/>
      <c r="L41" s="13"/>
      <c r="M41" s="13"/>
      <c r="N41" s="13"/>
      <c r="O41" s="13"/>
      <c r="P41" s="253"/>
    </row>
    <row r="42" ht="40" customHeight="1" spans="1:16">
      <c r="A42" s="231" t="s">
        <v>37</v>
      </c>
      <c r="B42" s="232">
        <f>B21+B27+B29</f>
        <v>1400</v>
      </c>
      <c r="C42" s="240"/>
      <c r="D42" s="234">
        <v>550</v>
      </c>
      <c r="E42" s="234">
        <f t="shared" si="21"/>
        <v>850</v>
      </c>
      <c r="F42" s="234">
        <f t="shared" si="9"/>
        <v>39.2857142857143</v>
      </c>
      <c r="G42" s="241">
        <f t="shared" si="22"/>
        <v>550</v>
      </c>
      <c r="H42" s="234">
        <f t="shared" si="23"/>
        <v>550</v>
      </c>
      <c r="I42" s="234"/>
      <c r="J42" s="234"/>
      <c r="K42" s="234"/>
      <c r="L42" s="234"/>
      <c r="M42" s="234">
        <v>550</v>
      </c>
      <c r="N42" s="234"/>
      <c r="O42" s="234"/>
      <c r="P42" s="257"/>
    </row>
  </sheetData>
  <mergeCells count="14">
    <mergeCell ref="A1:P1"/>
    <mergeCell ref="C2:K2"/>
    <mergeCell ref="O2:P2"/>
    <mergeCell ref="G3:P3"/>
    <mergeCell ref="H4:N4"/>
    <mergeCell ref="A3:A5"/>
    <mergeCell ref="B3:B5"/>
    <mergeCell ref="C3:C5"/>
    <mergeCell ref="D3:D5"/>
    <mergeCell ref="E3:E5"/>
    <mergeCell ref="F3:F5"/>
    <mergeCell ref="G4:G5"/>
    <mergeCell ref="O4:O5"/>
    <mergeCell ref="P4:P5"/>
  </mergeCells>
  <pageMargins left="0.609027777777778" right="0.354166666666667" top="0.747916666666667" bottom="0.707638888888889" header="0.511805555555556" footer="0.511805555555556"/>
  <pageSetup paperSize="9" scale="55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9"/>
  <sheetViews>
    <sheetView showZeros="0" zoomScale="72" zoomScaleNormal="72" workbookViewId="0">
      <pane xSplit="1" ySplit="5" topLeftCell="B6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34.8916666666667" customWidth="1"/>
    <col min="2" max="2" width="11.6666666666667" customWidth="1"/>
    <col min="3" max="3" width="35.5916666666667" customWidth="1"/>
    <col min="4" max="4" width="11.9166666666667" customWidth="1"/>
    <col min="5" max="5" width="12.0833333333333" customWidth="1"/>
    <col min="6" max="6" width="10.75" customWidth="1"/>
    <col min="7" max="7" width="12.15" customWidth="1"/>
    <col min="8" max="8" width="13.1916666666667" customWidth="1"/>
    <col min="9" max="9" width="12.25" customWidth="1"/>
    <col min="10" max="10" width="12.9166666666667" customWidth="1"/>
    <col min="11" max="11" width="13.1666666666667" customWidth="1"/>
    <col min="12" max="12" width="10.5916666666667" customWidth="1"/>
    <col min="13" max="13" width="11.25" customWidth="1"/>
    <col min="14" max="14" width="12.5" customWidth="1"/>
    <col min="15" max="15" width="9.75" customWidth="1"/>
    <col min="16" max="16" width="10.75" customWidth="1"/>
  </cols>
  <sheetData>
    <row r="1" ht="22" customHeight="1" spans="1:16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9" customHeight="1" spans="1:16">
      <c r="A2" s="2" t="s">
        <v>118</v>
      </c>
      <c r="B2" s="3"/>
      <c r="C2" s="212">
        <v>43606</v>
      </c>
      <c r="D2" s="212"/>
      <c r="E2" s="212"/>
      <c r="F2" s="212"/>
      <c r="G2" s="212"/>
      <c r="H2" s="212"/>
      <c r="I2" s="212"/>
      <c r="J2" s="212"/>
      <c r="K2" s="212"/>
      <c r="L2" s="16"/>
      <c r="M2" s="16"/>
      <c r="N2" s="16"/>
      <c r="O2" s="242" t="s">
        <v>3</v>
      </c>
      <c r="P2" s="242"/>
    </row>
    <row r="3" ht="23" customHeight="1" spans="1:16">
      <c r="A3" s="213" t="s">
        <v>134</v>
      </c>
      <c r="B3" s="214" t="s">
        <v>135</v>
      </c>
      <c r="C3" s="214" t="s">
        <v>62</v>
      </c>
      <c r="D3" s="215" t="s">
        <v>136</v>
      </c>
      <c r="E3" s="216" t="s">
        <v>137</v>
      </c>
      <c r="F3" s="215" t="s">
        <v>7</v>
      </c>
      <c r="G3" s="214" t="s">
        <v>65</v>
      </c>
      <c r="H3" s="214"/>
      <c r="I3" s="214"/>
      <c r="J3" s="214"/>
      <c r="K3" s="214"/>
      <c r="L3" s="214"/>
      <c r="M3" s="214"/>
      <c r="N3" s="214"/>
      <c r="O3" s="214"/>
      <c r="P3" s="243"/>
    </row>
    <row r="4" ht="23" customHeight="1" spans="1:16">
      <c r="A4" s="217"/>
      <c r="B4" s="218"/>
      <c r="C4" s="218"/>
      <c r="D4" s="219"/>
      <c r="E4" s="220"/>
      <c r="F4" s="219"/>
      <c r="G4" s="221" t="s">
        <v>138</v>
      </c>
      <c r="H4" s="222" t="s">
        <v>139</v>
      </c>
      <c r="I4" s="244"/>
      <c r="J4" s="244"/>
      <c r="K4" s="244"/>
      <c r="L4" s="244"/>
      <c r="M4" s="244"/>
      <c r="N4" s="245"/>
      <c r="O4" s="246" t="s">
        <v>140</v>
      </c>
      <c r="P4" s="247" t="s">
        <v>141</v>
      </c>
    </row>
    <row r="5" ht="23" customHeight="1" spans="1:16">
      <c r="A5" s="223"/>
      <c r="B5" s="174"/>
      <c r="C5" s="174"/>
      <c r="D5" s="175"/>
      <c r="E5" s="219"/>
      <c r="F5" s="175"/>
      <c r="G5" s="218"/>
      <c r="H5" s="174" t="s">
        <v>66</v>
      </c>
      <c r="I5" s="174" t="s">
        <v>142</v>
      </c>
      <c r="J5" s="174" t="s">
        <v>143</v>
      </c>
      <c r="K5" s="174" t="s">
        <v>144</v>
      </c>
      <c r="L5" s="175" t="s">
        <v>69</v>
      </c>
      <c r="M5" s="175" t="s">
        <v>145</v>
      </c>
      <c r="N5" s="174" t="s">
        <v>131</v>
      </c>
      <c r="O5" s="248"/>
      <c r="P5" s="249"/>
    </row>
    <row r="6" ht="23" customHeight="1" spans="1:16">
      <c r="A6" s="224" t="s">
        <v>93</v>
      </c>
      <c r="B6" s="186">
        <f>B7+B17+B21+B27</f>
        <v>21527.5</v>
      </c>
      <c r="C6" s="186">
        <f>SUM(C7,C21,C27)</f>
        <v>0</v>
      </c>
      <c r="D6" s="186">
        <f>SUM(D7,D21,D27)</f>
        <v>11202.68</v>
      </c>
      <c r="E6" s="186">
        <f>E7+E17+E21+E27</f>
        <v>10324.82</v>
      </c>
      <c r="F6" s="13">
        <f t="shared" ref="F6:F31" si="0">D6/B6*100</f>
        <v>52.0389269538962</v>
      </c>
      <c r="G6" s="14">
        <f>G7+G17+G21+G27</f>
        <v>11202.68263</v>
      </c>
      <c r="H6" s="186">
        <f t="shared" ref="H6:H16" si="1">SUM(I6:N6)</f>
        <v>10314.1</v>
      </c>
      <c r="I6" s="186">
        <f t="shared" ref="I6:P6" si="2">SUM(I7,I21,I27)</f>
        <v>4615.9</v>
      </c>
      <c r="J6" s="186">
        <f t="shared" si="2"/>
        <v>3648</v>
      </c>
      <c r="K6" s="186">
        <f t="shared" si="2"/>
        <v>1338.5</v>
      </c>
      <c r="L6" s="186">
        <f t="shared" si="2"/>
        <v>191.7</v>
      </c>
      <c r="M6" s="186">
        <f t="shared" si="2"/>
        <v>520</v>
      </c>
      <c r="N6" s="14">
        <f t="shared" si="2"/>
        <v>0</v>
      </c>
      <c r="O6" s="186">
        <f t="shared" si="2"/>
        <v>168</v>
      </c>
      <c r="P6" s="250">
        <f t="shared" si="2"/>
        <v>16.241</v>
      </c>
    </row>
    <row r="7" ht="23" customHeight="1" spans="1:16">
      <c r="A7" s="225" t="s">
        <v>146</v>
      </c>
      <c r="B7" s="186">
        <f t="shared" ref="B7:P7" si="3">SUM(B8,B15,B16)</f>
        <v>11415</v>
      </c>
      <c r="C7" s="186">
        <f t="shared" si="3"/>
        <v>0</v>
      </c>
      <c r="D7" s="186">
        <f t="shared" si="3"/>
        <v>8365.18</v>
      </c>
      <c r="E7" s="186">
        <f t="shared" si="3"/>
        <v>3049.82</v>
      </c>
      <c r="F7" s="14">
        <f t="shared" si="3"/>
        <v>75.7990213845596</v>
      </c>
      <c r="G7" s="14">
        <f t="shared" si="3"/>
        <v>8365.18263</v>
      </c>
      <c r="H7" s="186">
        <f t="shared" si="3"/>
        <v>7476.6</v>
      </c>
      <c r="I7" s="186">
        <f t="shared" si="3"/>
        <v>4615.9</v>
      </c>
      <c r="J7" s="186">
        <f t="shared" si="3"/>
        <v>2669</v>
      </c>
      <c r="K7" s="186">
        <f t="shared" si="3"/>
        <v>0</v>
      </c>
      <c r="L7" s="186">
        <f t="shared" si="3"/>
        <v>191.7</v>
      </c>
      <c r="M7" s="186">
        <f t="shared" si="3"/>
        <v>0</v>
      </c>
      <c r="N7" s="14">
        <f t="shared" si="3"/>
        <v>0</v>
      </c>
      <c r="O7" s="186">
        <f t="shared" si="3"/>
        <v>168</v>
      </c>
      <c r="P7" s="250">
        <f t="shared" si="3"/>
        <v>16.241</v>
      </c>
    </row>
    <row r="8" ht="23" customHeight="1" spans="1:16">
      <c r="A8" s="226" t="s">
        <v>147</v>
      </c>
      <c r="B8" s="186">
        <f t="shared" ref="B8:G8" si="4">SUM(B9:B14)</f>
        <v>11036</v>
      </c>
      <c r="C8" s="187"/>
      <c r="D8" s="186">
        <f t="shared" si="4"/>
        <v>8365.18</v>
      </c>
      <c r="E8" s="186">
        <f t="shared" si="4"/>
        <v>2670.82</v>
      </c>
      <c r="F8" s="13">
        <f t="shared" si="0"/>
        <v>75.7990213845596</v>
      </c>
      <c r="G8" s="14">
        <f t="shared" si="4"/>
        <v>8365.18263</v>
      </c>
      <c r="H8" s="186">
        <f t="shared" si="1"/>
        <v>7476.6</v>
      </c>
      <c r="I8" s="186">
        <f t="shared" ref="I8:L8" si="5">SUM(I9:I14)</f>
        <v>4615.9</v>
      </c>
      <c r="J8" s="186">
        <f t="shared" si="5"/>
        <v>2669</v>
      </c>
      <c r="K8" s="186"/>
      <c r="L8" s="186">
        <f t="shared" si="5"/>
        <v>191.7</v>
      </c>
      <c r="M8" s="186"/>
      <c r="N8" s="14"/>
      <c r="O8" s="186">
        <f>SUM(O9:O14)</f>
        <v>168</v>
      </c>
      <c r="P8" s="250">
        <f>SUM(P9:P14)</f>
        <v>16.241</v>
      </c>
    </row>
    <row r="9" ht="25" customHeight="1" spans="1:16">
      <c r="A9" s="227" t="s">
        <v>148</v>
      </c>
      <c r="B9" s="11">
        <v>168</v>
      </c>
      <c r="C9" s="15" t="s">
        <v>149</v>
      </c>
      <c r="D9" s="11">
        <v>168</v>
      </c>
      <c r="E9" s="11">
        <f t="shared" ref="E9:E17" si="6">B9-D9</f>
        <v>0</v>
      </c>
      <c r="F9" s="13">
        <f t="shared" si="0"/>
        <v>100</v>
      </c>
      <c r="G9" s="13">
        <f t="shared" ref="G9:G14" si="7">SUM(I9:P9)</f>
        <v>168</v>
      </c>
      <c r="H9" s="186">
        <f t="shared" si="1"/>
        <v>0</v>
      </c>
      <c r="I9" s="11"/>
      <c r="J9" s="11"/>
      <c r="K9" s="11"/>
      <c r="L9" s="251"/>
      <c r="M9" s="251"/>
      <c r="N9" s="196"/>
      <c r="O9" s="11">
        <v>168</v>
      </c>
      <c r="P9" s="252"/>
    </row>
    <row r="10" ht="45.5" customHeight="1" spans="1:16">
      <c r="A10" s="227" t="s">
        <v>150</v>
      </c>
      <c r="B10" s="11">
        <v>4631</v>
      </c>
      <c r="C10" s="39" t="s">
        <v>151</v>
      </c>
      <c r="D10" s="11">
        <v>4615.9</v>
      </c>
      <c r="E10" s="11">
        <f t="shared" si="6"/>
        <v>15.1000000000004</v>
      </c>
      <c r="F10" s="13">
        <f t="shared" si="0"/>
        <v>99.6739365147916</v>
      </c>
      <c r="G10" s="13">
        <f t="shared" si="7"/>
        <v>4615.9</v>
      </c>
      <c r="H10" s="14">
        <f t="shared" si="1"/>
        <v>4615.9</v>
      </c>
      <c r="I10" s="11">
        <v>4615.9</v>
      </c>
      <c r="J10" s="11"/>
      <c r="K10" s="11"/>
      <c r="L10" s="11"/>
      <c r="M10" s="11"/>
      <c r="N10" s="13"/>
      <c r="O10" s="11"/>
      <c r="P10" s="252"/>
    </row>
    <row r="11" ht="25" customHeight="1" spans="1:16">
      <c r="A11" s="227" t="s">
        <v>152</v>
      </c>
      <c r="B11" s="11">
        <v>2058</v>
      </c>
      <c r="C11" s="15" t="s">
        <v>153</v>
      </c>
      <c r="D11" s="11"/>
      <c r="E11" s="11">
        <f t="shared" si="6"/>
        <v>2058</v>
      </c>
      <c r="F11" s="13">
        <f t="shared" si="0"/>
        <v>0</v>
      </c>
      <c r="G11" s="13">
        <f t="shared" si="7"/>
        <v>0</v>
      </c>
      <c r="H11" s="14">
        <f t="shared" si="1"/>
        <v>0</v>
      </c>
      <c r="I11" s="11"/>
      <c r="J11" s="11"/>
      <c r="K11" s="11"/>
      <c r="L11" s="11"/>
      <c r="M11" s="11"/>
      <c r="N11" s="13"/>
      <c r="O11" s="11"/>
      <c r="P11" s="252"/>
    </row>
    <row r="12" ht="25" customHeight="1" spans="1:16">
      <c r="A12" s="227" t="s">
        <v>154</v>
      </c>
      <c r="B12" s="11">
        <v>567</v>
      </c>
      <c r="C12" s="15" t="s">
        <v>155</v>
      </c>
      <c r="D12" s="11">
        <v>567</v>
      </c>
      <c r="E12" s="11">
        <f t="shared" si="6"/>
        <v>0</v>
      </c>
      <c r="F12" s="13">
        <f t="shared" si="0"/>
        <v>100</v>
      </c>
      <c r="G12" s="13">
        <f t="shared" si="7"/>
        <v>567</v>
      </c>
      <c r="H12" s="14">
        <f t="shared" si="1"/>
        <v>567</v>
      </c>
      <c r="I12" s="251"/>
      <c r="J12" s="11"/>
      <c r="K12" s="11"/>
      <c r="L12" s="11"/>
      <c r="M12" s="11"/>
      <c r="N12" s="13">
        <v>567</v>
      </c>
      <c r="O12" s="11"/>
      <c r="P12" s="252"/>
    </row>
    <row r="13" ht="41.5" customHeight="1" spans="1:16">
      <c r="A13" s="227" t="s">
        <v>36</v>
      </c>
      <c r="B13" s="11">
        <f>176+380</f>
        <v>556</v>
      </c>
      <c r="C13" s="39" t="s">
        <v>156</v>
      </c>
      <c r="D13" s="11">
        <v>249.59</v>
      </c>
      <c r="E13" s="11">
        <f t="shared" si="6"/>
        <v>306.41</v>
      </c>
      <c r="F13" s="13">
        <f t="shared" si="0"/>
        <v>44.8902877697842</v>
      </c>
      <c r="G13" s="13">
        <f t="shared" si="7"/>
        <v>249.59388</v>
      </c>
      <c r="H13" s="14">
        <f t="shared" si="1"/>
        <v>233.35288</v>
      </c>
      <c r="I13" s="11"/>
      <c r="J13" s="11"/>
      <c r="K13" s="11"/>
      <c r="L13" s="11">
        <v>191.7</v>
      </c>
      <c r="M13" s="11"/>
      <c r="N13" s="13">
        <v>41.65288</v>
      </c>
      <c r="O13" s="11"/>
      <c r="P13" s="252">
        <v>16.241</v>
      </c>
    </row>
    <row r="14" ht="45" customHeight="1" spans="1:16">
      <c r="A14" s="227" t="s">
        <v>33</v>
      </c>
      <c r="B14" s="11">
        <f>387+2669</f>
        <v>3056</v>
      </c>
      <c r="C14" s="15" t="s">
        <v>157</v>
      </c>
      <c r="D14" s="11">
        <f>2669+95.69</f>
        <v>2764.69</v>
      </c>
      <c r="E14" s="11">
        <f t="shared" si="6"/>
        <v>291.31</v>
      </c>
      <c r="F14" s="13">
        <f t="shared" si="0"/>
        <v>90.4676047120419</v>
      </c>
      <c r="G14" s="13">
        <f t="shared" si="7"/>
        <v>2764.68875</v>
      </c>
      <c r="H14" s="14">
        <f t="shared" si="1"/>
        <v>2764.68875</v>
      </c>
      <c r="I14" s="11"/>
      <c r="J14" s="11">
        <v>2669</v>
      </c>
      <c r="K14" s="11"/>
      <c r="L14" s="11"/>
      <c r="M14" s="11"/>
      <c r="N14" s="13">
        <v>95.68875</v>
      </c>
      <c r="O14" s="11"/>
      <c r="P14" s="252"/>
    </row>
    <row r="15" ht="25" customHeight="1" spans="1:16">
      <c r="A15" s="228" t="s">
        <v>158</v>
      </c>
      <c r="B15" s="11">
        <v>329</v>
      </c>
      <c r="C15" s="15" t="s">
        <v>159</v>
      </c>
      <c r="D15" s="11">
        <v>0</v>
      </c>
      <c r="E15" s="11">
        <f t="shared" si="6"/>
        <v>329</v>
      </c>
      <c r="F15" s="13">
        <f t="shared" si="0"/>
        <v>0</v>
      </c>
      <c r="G15" s="13">
        <v>0</v>
      </c>
      <c r="H15" s="14">
        <f t="shared" si="1"/>
        <v>0</v>
      </c>
      <c r="I15" s="11">
        <v>0</v>
      </c>
      <c r="J15" s="11"/>
      <c r="K15" s="11"/>
      <c r="L15" s="11"/>
      <c r="M15" s="11"/>
      <c r="N15" s="13"/>
      <c r="O15" s="11"/>
      <c r="P15" s="252"/>
    </row>
    <row r="16" ht="25" customHeight="1" spans="1:16">
      <c r="A16" s="228" t="s">
        <v>160</v>
      </c>
      <c r="B16" s="11">
        <v>50</v>
      </c>
      <c r="C16" s="15" t="s">
        <v>161</v>
      </c>
      <c r="D16" s="11">
        <v>0</v>
      </c>
      <c r="E16" s="11">
        <f t="shared" si="6"/>
        <v>50</v>
      </c>
      <c r="F16" s="13">
        <f t="shared" si="0"/>
        <v>0</v>
      </c>
      <c r="G16" s="13">
        <f>SUM(I16:P16)</f>
        <v>0</v>
      </c>
      <c r="H16" s="14">
        <f t="shared" si="1"/>
        <v>0</v>
      </c>
      <c r="I16" s="11"/>
      <c r="J16" s="11"/>
      <c r="K16" s="11"/>
      <c r="L16" s="11"/>
      <c r="M16" s="11"/>
      <c r="N16" s="13"/>
      <c r="O16" s="11"/>
      <c r="P16" s="252">
        <v>0</v>
      </c>
    </row>
    <row r="17" ht="25" customHeight="1" spans="1:16">
      <c r="A17" s="225" t="s">
        <v>171</v>
      </c>
      <c r="B17" s="11">
        <f>B18+B19+B20</f>
        <v>4255</v>
      </c>
      <c r="C17" s="15"/>
      <c r="D17" s="11"/>
      <c r="E17" s="11">
        <f t="shared" si="6"/>
        <v>4255</v>
      </c>
      <c r="F17" s="13">
        <f t="shared" si="0"/>
        <v>0</v>
      </c>
      <c r="G17" s="13"/>
      <c r="H17" s="14"/>
      <c r="I17" s="11"/>
      <c r="J17" s="11"/>
      <c r="K17" s="11"/>
      <c r="L17" s="11"/>
      <c r="M17" s="11"/>
      <c r="N17" s="13"/>
      <c r="O17" s="11"/>
      <c r="P17" s="252"/>
    </row>
    <row r="18" ht="29" customHeight="1" spans="1:16">
      <c r="A18" s="227" t="s">
        <v>148</v>
      </c>
      <c r="B18" s="11">
        <v>1329</v>
      </c>
      <c r="C18" s="15" t="s">
        <v>174</v>
      </c>
      <c r="D18" s="11"/>
      <c r="E18" s="11"/>
      <c r="F18" s="13">
        <f t="shared" si="0"/>
        <v>0</v>
      </c>
      <c r="G18" s="13"/>
      <c r="H18" s="14"/>
      <c r="I18" s="11"/>
      <c r="J18" s="11"/>
      <c r="K18" s="11"/>
      <c r="L18" s="11"/>
      <c r="M18" s="11"/>
      <c r="N18" s="13"/>
      <c r="O18" s="11"/>
      <c r="P18" s="252"/>
    </row>
    <row r="19" ht="25" customHeight="1" spans="1:16">
      <c r="A19" s="227" t="s">
        <v>150</v>
      </c>
      <c r="B19" s="11">
        <v>2855</v>
      </c>
      <c r="C19" s="15" t="s">
        <v>175</v>
      </c>
      <c r="D19" s="11"/>
      <c r="E19" s="11"/>
      <c r="F19" s="13">
        <f t="shared" si="0"/>
        <v>0</v>
      </c>
      <c r="G19" s="13"/>
      <c r="H19" s="14"/>
      <c r="I19" s="11"/>
      <c r="J19" s="11"/>
      <c r="K19" s="11"/>
      <c r="L19" s="11"/>
      <c r="M19" s="11"/>
      <c r="N19" s="13"/>
      <c r="O19" s="11"/>
      <c r="P19" s="252"/>
    </row>
    <row r="20" ht="25" customHeight="1" spans="1:16">
      <c r="A20" s="227" t="s">
        <v>152</v>
      </c>
      <c r="B20" s="11">
        <v>71</v>
      </c>
      <c r="C20" s="15" t="s">
        <v>155</v>
      </c>
      <c r="D20" s="11"/>
      <c r="E20" s="11"/>
      <c r="F20" s="13">
        <f t="shared" si="0"/>
        <v>0</v>
      </c>
      <c r="G20" s="13"/>
      <c r="H20" s="14"/>
      <c r="I20" s="11"/>
      <c r="J20" s="11"/>
      <c r="K20" s="11"/>
      <c r="L20" s="11"/>
      <c r="M20" s="11"/>
      <c r="N20" s="13"/>
      <c r="O20" s="11"/>
      <c r="P20" s="252"/>
    </row>
    <row r="21" ht="25" customHeight="1" spans="1:16">
      <c r="A21" s="229" t="s">
        <v>172</v>
      </c>
      <c r="B21" s="11">
        <f t="shared" ref="B21:P21" si="8">SUM(B22:B26)</f>
        <v>2857.5</v>
      </c>
      <c r="C21" s="189"/>
      <c r="D21" s="11">
        <f t="shared" si="8"/>
        <v>2837.5</v>
      </c>
      <c r="E21" s="11">
        <f t="shared" si="8"/>
        <v>20</v>
      </c>
      <c r="F21" s="13">
        <f t="shared" si="0"/>
        <v>99.3000874890639</v>
      </c>
      <c r="G21" s="13">
        <f t="shared" si="8"/>
        <v>2837.5</v>
      </c>
      <c r="H21" s="13">
        <f t="shared" si="8"/>
        <v>2837.5</v>
      </c>
      <c r="I21" s="11">
        <f t="shared" si="8"/>
        <v>0</v>
      </c>
      <c r="J21" s="11">
        <f t="shared" si="8"/>
        <v>979</v>
      </c>
      <c r="K21" s="11">
        <f t="shared" si="8"/>
        <v>1338.5</v>
      </c>
      <c r="L21" s="11">
        <f t="shared" si="8"/>
        <v>0</v>
      </c>
      <c r="M21" s="11">
        <f t="shared" si="8"/>
        <v>520</v>
      </c>
      <c r="N21" s="13">
        <f t="shared" si="8"/>
        <v>0</v>
      </c>
      <c r="O21" s="11">
        <f t="shared" si="8"/>
        <v>0</v>
      </c>
      <c r="P21" s="252">
        <f t="shared" si="8"/>
        <v>0</v>
      </c>
    </row>
    <row r="22" ht="25" customHeight="1" spans="1:16">
      <c r="A22" s="227" t="s">
        <v>33</v>
      </c>
      <c r="B22" s="11">
        <v>204</v>
      </c>
      <c r="C22" s="15" t="s">
        <v>143</v>
      </c>
      <c r="D22" s="11">
        <v>204</v>
      </c>
      <c r="E22" s="11">
        <f t="shared" ref="E22:E31" si="9">B22-D22</f>
        <v>0</v>
      </c>
      <c r="F22" s="13">
        <f t="shared" si="0"/>
        <v>100</v>
      </c>
      <c r="G22" s="14">
        <f t="shared" ref="G22:G31" si="10">H22+O22+P22</f>
        <v>204</v>
      </c>
      <c r="H22" s="14">
        <f t="shared" ref="H22:H27" si="11">SUM(I22:N22)</f>
        <v>204</v>
      </c>
      <c r="I22" s="11"/>
      <c r="J22" s="11">
        <v>204</v>
      </c>
      <c r="K22" s="11"/>
      <c r="L22" s="11"/>
      <c r="M22" s="11"/>
      <c r="N22" s="13"/>
      <c r="O22" s="11"/>
      <c r="P22" s="252"/>
    </row>
    <row r="23" ht="25" customHeight="1" spans="1:16">
      <c r="A23" s="227" t="s">
        <v>150</v>
      </c>
      <c r="B23" s="11">
        <v>775</v>
      </c>
      <c r="C23" s="15" t="s">
        <v>143</v>
      </c>
      <c r="D23" s="11">
        <v>775</v>
      </c>
      <c r="E23" s="11">
        <f t="shared" si="9"/>
        <v>0</v>
      </c>
      <c r="F23" s="13">
        <f t="shared" si="0"/>
        <v>100</v>
      </c>
      <c r="G23" s="14">
        <f t="shared" si="10"/>
        <v>775</v>
      </c>
      <c r="H23" s="14">
        <f t="shared" si="11"/>
        <v>775</v>
      </c>
      <c r="I23" s="11"/>
      <c r="J23" s="11">
        <v>775</v>
      </c>
      <c r="K23" s="11"/>
      <c r="L23" s="11"/>
      <c r="M23" s="11"/>
      <c r="N23" s="13"/>
      <c r="O23" s="11"/>
      <c r="P23" s="252"/>
    </row>
    <row r="24" ht="25" customHeight="1" spans="1:16">
      <c r="A24" s="227" t="s">
        <v>37</v>
      </c>
      <c r="B24" s="11">
        <v>520</v>
      </c>
      <c r="C24" s="15" t="s">
        <v>163</v>
      </c>
      <c r="D24" s="11">
        <v>520</v>
      </c>
      <c r="E24" s="11">
        <f t="shared" si="9"/>
        <v>0</v>
      </c>
      <c r="F24" s="13">
        <f t="shared" si="0"/>
        <v>100</v>
      </c>
      <c r="G24" s="14">
        <f t="shared" si="10"/>
        <v>520</v>
      </c>
      <c r="H24" s="14">
        <f t="shared" si="11"/>
        <v>520</v>
      </c>
      <c r="I24" s="11"/>
      <c r="J24" s="11"/>
      <c r="K24" s="11"/>
      <c r="L24" s="11"/>
      <c r="M24" s="11">
        <v>520</v>
      </c>
      <c r="N24" s="13"/>
      <c r="O24" s="11"/>
      <c r="P24" s="252"/>
    </row>
    <row r="25" ht="25" customHeight="1" spans="1:16">
      <c r="A25" s="227" t="s">
        <v>150</v>
      </c>
      <c r="B25" s="11">
        <v>1338.5</v>
      </c>
      <c r="C25" s="15" t="s">
        <v>164</v>
      </c>
      <c r="D25" s="11">
        <v>1338.5</v>
      </c>
      <c r="E25" s="11">
        <f t="shared" si="9"/>
        <v>0</v>
      </c>
      <c r="F25" s="13">
        <f t="shared" si="0"/>
        <v>100</v>
      </c>
      <c r="G25" s="14">
        <f t="shared" si="10"/>
        <v>1338.5</v>
      </c>
      <c r="H25" s="14">
        <f t="shared" si="11"/>
        <v>1338.5</v>
      </c>
      <c r="I25" s="11"/>
      <c r="J25" s="11"/>
      <c r="K25" s="11">
        <v>1338.5</v>
      </c>
      <c r="L25" s="11"/>
      <c r="M25" s="11"/>
      <c r="N25" s="13"/>
      <c r="O25" s="11"/>
      <c r="P25" s="252"/>
    </row>
    <row r="26" ht="25" customHeight="1" spans="1:16">
      <c r="A26" s="227" t="s">
        <v>36</v>
      </c>
      <c r="B26" s="11">
        <v>20</v>
      </c>
      <c r="C26" s="15" t="s">
        <v>165</v>
      </c>
      <c r="D26" s="11"/>
      <c r="E26" s="11">
        <f t="shared" si="9"/>
        <v>20</v>
      </c>
      <c r="F26" s="13">
        <f t="shared" si="0"/>
        <v>0</v>
      </c>
      <c r="G26" s="14">
        <f t="shared" si="10"/>
        <v>0</v>
      </c>
      <c r="H26" s="186">
        <f t="shared" si="11"/>
        <v>0</v>
      </c>
      <c r="I26" s="11"/>
      <c r="J26" s="11"/>
      <c r="K26" s="11"/>
      <c r="L26" s="11"/>
      <c r="M26" s="11"/>
      <c r="N26" s="13"/>
      <c r="O26" s="11"/>
      <c r="P26" s="254"/>
    </row>
    <row r="27" ht="25" customHeight="1" spans="1:16">
      <c r="A27" s="225" t="s">
        <v>173</v>
      </c>
      <c r="B27" s="11">
        <f>B28+B29+B30+B31</f>
        <v>3000</v>
      </c>
      <c r="C27" s="15"/>
      <c r="D27" s="11">
        <v>0</v>
      </c>
      <c r="E27" s="11">
        <f t="shared" si="9"/>
        <v>3000</v>
      </c>
      <c r="F27" s="13">
        <f t="shared" si="0"/>
        <v>0</v>
      </c>
      <c r="G27" s="14">
        <f t="shared" si="10"/>
        <v>0</v>
      </c>
      <c r="H27" s="186">
        <f t="shared" si="11"/>
        <v>0</v>
      </c>
      <c r="I27" s="11">
        <v>0</v>
      </c>
      <c r="J27" s="11"/>
      <c r="K27" s="11"/>
      <c r="L27" s="11"/>
      <c r="M27" s="11"/>
      <c r="N27" s="13"/>
      <c r="O27" s="11"/>
      <c r="P27" s="252"/>
    </row>
    <row r="28" ht="25" customHeight="1" spans="1:16">
      <c r="A28" s="227" t="s">
        <v>150</v>
      </c>
      <c r="B28" s="11">
        <v>20</v>
      </c>
      <c r="C28" s="15" t="s">
        <v>176</v>
      </c>
      <c r="D28" s="11"/>
      <c r="E28" s="11">
        <f t="shared" si="9"/>
        <v>20</v>
      </c>
      <c r="F28" s="13">
        <f t="shared" si="0"/>
        <v>0</v>
      </c>
      <c r="G28" s="14">
        <f t="shared" si="10"/>
        <v>0</v>
      </c>
      <c r="H28" s="186"/>
      <c r="I28" s="11"/>
      <c r="J28" s="11"/>
      <c r="K28" s="11"/>
      <c r="L28" s="11"/>
      <c r="M28" s="11"/>
      <c r="N28" s="13"/>
      <c r="O28" s="11"/>
      <c r="P28" s="252"/>
    </row>
    <row r="29" ht="25" customHeight="1" spans="1:16">
      <c r="A29" s="227" t="s">
        <v>35</v>
      </c>
      <c r="B29" s="11">
        <v>1000</v>
      </c>
      <c r="C29" s="15" t="s">
        <v>177</v>
      </c>
      <c r="D29" s="11"/>
      <c r="E29" s="11">
        <f t="shared" si="9"/>
        <v>1000</v>
      </c>
      <c r="F29" s="13">
        <f t="shared" si="0"/>
        <v>0</v>
      </c>
      <c r="G29" s="14">
        <f t="shared" si="10"/>
        <v>0</v>
      </c>
      <c r="H29" s="186"/>
      <c r="I29" s="11"/>
      <c r="J29" s="11"/>
      <c r="K29" s="11"/>
      <c r="L29" s="11"/>
      <c r="M29" s="11"/>
      <c r="N29" s="13"/>
      <c r="O29" s="11"/>
      <c r="P29" s="252"/>
    </row>
    <row r="30" ht="25" customHeight="1" spans="1:16">
      <c r="A30" s="227" t="s">
        <v>148</v>
      </c>
      <c r="B30" s="11">
        <v>1680</v>
      </c>
      <c r="C30" s="15" t="s">
        <v>174</v>
      </c>
      <c r="D30" s="11"/>
      <c r="E30" s="11">
        <f t="shared" si="9"/>
        <v>1680</v>
      </c>
      <c r="F30" s="13">
        <f t="shared" si="0"/>
        <v>0</v>
      </c>
      <c r="G30" s="14">
        <f t="shared" si="10"/>
        <v>0</v>
      </c>
      <c r="H30" s="186"/>
      <c r="I30" s="11"/>
      <c r="J30" s="11"/>
      <c r="K30" s="11"/>
      <c r="L30" s="11"/>
      <c r="M30" s="11"/>
      <c r="N30" s="13"/>
      <c r="O30" s="11"/>
      <c r="P30" s="252"/>
    </row>
    <row r="31" ht="25" customHeight="1" spans="1:16">
      <c r="A31" s="227" t="s">
        <v>36</v>
      </c>
      <c r="B31" s="11">
        <v>300</v>
      </c>
      <c r="C31" s="15" t="s">
        <v>178</v>
      </c>
      <c r="D31" s="11"/>
      <c r="E31" s="11">
        <f t="shared" si="9"/>
        <v>300</v>
      </c>
      <c r="F31" s="13">
        <f t="shared" si="0"/>
        <v>0</v>
      </c>
      <c r="G31" s="14">
        <f t="shared" si="10"/>
        <v>0</v>
      </c>
      <c r="H31" s="186"/>
      <c r="I31" s="11"/>
      <c r="J31" s="11"/>
      <c r="K31" s="11"/>
      <c r="L31" s="11"/>
      <c r="M31" s="11"/>
      <c r="N31" s="13"/>
      <c r="O31" s="11"/>
      <c r="P31" s="252"/>
    </row>
    <row r="32" ht="25" customHeight="1" spans="1:16">
      <c r="A32" s="230" t="s">
        <v>102</v>
      </c>
      <c r="B32" s="11">
        <f>SUM(B33:B38)</f>
        <v>3000</v>
      </c>
      <c r="C32" s="189"/>
      <c r="D32" s="11">
        <f t="shared" ref="D32:P32" si="12">SUM(D33:D37)</f>
        <v>1271.6</v>
      </c>
      <c r="E32" s="11">
        <f t="shared" si="12"/>
        <v>1078.4</v>
      </c>
      <c r="F32" s="13">
        <f t="shared" ref="F32:F49" si="13">D32/B32*100</f>
        <v>42.3866666666667</v>
      </c>
      <c r="G32" s="14">
        <f t="shared" si="12"/>
        <v>1271.6</v>
      </c>
      <c r="H32" s="186">
        <f t="shared" si="12"/>
        <v>1271.6</v>
      </c>
      <c r="I32" s="186">
        <f t="shared" si="12"/>
        <v>0</v>
      </c>
      <c r="J32" s="186">
        <f t="shared" si="12"/>
        <v>901.6</v>
      </c>
      <c r="K32" s="186">
        <f t="shared" si="12"/>
        <v>340</v>
      </c>
      <c r="L32" s="186">
        <f t="shared" si="12"/>
        <v>0</v>
      </c>
      <c r="M32" s="186">
        <f t="shared" si="12"/>
        <v>30</v>
      </c>
      <c r="N32" s="14">
        <f t="shared" si="12"/>
        <v>0</v>
      </c>
      <c r="O32" s="186">
        <f t="shared" si="12"/>
        <v>0</v>
      </c>
      <c r="P32" s="250">
        <f t="shared" si="12"/>
        <v>0</v>
      </c>
    </row>
    <row r="33" ht="25" customHeight="1" spans="1:16">
      <c r="A33" s="227" t="s">
        <v>150</v>
      </c>
      <c r="B33" s="11">
        <v>1020</v>
      </c>
      <c r="C33" s="12" t="s">
        <v>167</v>
      </c>
      <c r="D33" s="11">
        <v>901.6</v>
      </c>
      <c r="E33" s="11">
        <f t="shared" ref="E33:E38" si="14">B33-D33</f>
        <v>118.4</v>
      </c>
      <c r="F33" s="13">
        <f t="shared" si="13"/>
        <v>88.3921568627451</v>
      </c>
      <c r="G33" s="14">
        <f t="shared" ref="G33:G37" si="15">H33+O33+P33</f>
        <v>901.6</v>
      </c>
      <c r="H33" s="186">
        <f t="shared" ref="H33:H37" si="16">SUM(I33:N33)</f>
        <v>901.6</v>
      </c>
      <c r="I33" s="11">
        <v>0</v>
      </c>
      <c r="J33" s="11">
        <v>901.6</v>
      </c>
      <c r="K33" s="11"/>
      <c r="L33" s="11"/>
      <c r="M33" s="11"/>
      <c r="N33" s="13"/>
      <c r="O33" s="11"/>
      <c r="P33" s="252"/>
    </row>
    <row r="34" ht="25" customHeight="1" spans="1:16">
      <c r="A34" s="227" t="s">
        <v>37</v>
      </c>
      <c r="B34" s="11">
        <v>100</v>
      </c>
      <c r="C34" s="15" t="s">
        <v>168</v>
      </c>
      <c r="D34" s="11">
        <v>0</v>
      </c>
      <c r="E34" s="11">
        <f t="shared" si="14"/>
        <v>100</v>
      </c>
      <c r="F34" s="13">
        <f t="shared" si="13"/>
        <v>0</v>
      </c>
      <c r="G34" s="14">
        <f t="shared" si="15"/>
        <v>0</v>
      </c>
      <c r="H34" s="186">
        <f t="shared" si="16"/>
        <v>0</v>
      </c>
      <c r="I34" s="11">
        <v>0</v>
      </c>
      <c r="J34" s="11"/>
      <c r="K34" s="11"/>
      <c r="L34" s="11"/>
      <c r="M34" s="11"/>
      <c r="N34" s="11"/>
      <c r="O34" s="11"/>
      <c r="P34" s="252"/>
    </row>
    <row r="35" ht="25" customHeight="1" spans="1:16">
      <c r="A35" s="227" t="s">
        <v>150</v>
      </c>
      <c r="B35" s="11">
        <v>400</v>
      </c>
      <c r="C35" s="12" t="s">
        <v>164</v>
      </c>
      <c r="D35" s="11">
        <v>340</v>
      </c>
      <c r="E35" s="11">
        <f t="shared" si="14"/>
        <v>60</v>
      </c>
      <c r="F35" s="13">
        <f t="shared" si="13"/>
        <v>85</v>
      </c>
      <c r="G35" s="14">
        <f t="shared" si="15"/>
        <v>340</v>
      </c>
      <c r="H35" s="186">
        <f t="shared" si="16"/>
        <v>340</v>
      </c>
      <c r="I35" s="11"/>
      <c r="J35" s="11"/>
      <c r="K35" s="11">
        <v>340</v>
      </c>
      <c r="L35" s="11"/>
      <c r="M35" s="11"/>
      <c r="N35" s="11"/>
      <c r="O35" s="11"/>
      <c r="P35" s="252"/>
    </row>
    <row r="36" ht="25" customHeight="1" spans="1:16">
      <c r="A36" s="227" t="s">
        <v>37</v>
      </c>
      <c r="B36" s="11">
        <v>780</v>
      </c>
      <c r="C36" s="15" t="s">
        <v>163</v>
      </c>
      <c r="D36" s="11">
        <v>30</v>
      </c>
      <c r="E36" s="11">
        <f t="shared" si="14"/>
        <v>750</v>
      </c>
      <c r="F36" s="13">
        <f t="shared" si="13"/>
        <v>3.84615384615385</v>
      </c>
      <c r="G36" s="14">
        <f t="shared" si="15"/>
        <v>30</v>
      </c>
      <c r="H36" s="186">
        <f t="shared" si="16"/>
        <v>30</v>
      </c>
      <c r="I36" s="11"/>
      <c r="J36" s="11"/>
      <c r="K36" s="11"/>
      <c r="L36" s="11">
        <v>0</v>
      </c>
      <c r="M36" s="11">
        <v>30</v>
      </c>
      <c r="N36" s="11"/>
      <c r="O36" s="11"/>
      <c r="P36" s="252"/>
    </row>
    <row r="37" ht="25" customHeight="1" spans="1:16">
      <c r="A37" s="227" t="s">
        <v>150</v>
      </c>
      <c r="B37" s="11">
        <v>50</v>
      </c>
      <c r="C37" s="15" t="s">
        <v>169</v>
      </c>
      <c r="D37" s="11">
        <v>0</v>
      </c>
      <c r="E37" s="11">
        <f t="shared" si="14"/>
        <v>50</v>
      </c>
      <c r="F37" s="13">
        <f t="shared" si="13"/>
        <v>0</v>
      </c>
      <c r="G37" s="14">
        <f t="shared" si="15"/>
        <v>0</v>
      </c>
      <c r="H37" s="186">
        <f t="shared" si="16"/>
        <v>0</v>
      </c>
      <c r="I37" s="11">
        <v>0</v>
      </c>
      <c r="J37" s="11"/>
      <c r="K37" s="11"/>
      <c r="L37" s="11"/>
      <c r="M37" s="11"/>
      <c r="N37" s="11"/>
      <c r="O37" s="11"/>
      <c r="P37" s="252"/>
    </row>
    <row r="38" ht="25" customHeight="1" spans="1:16">
      <c r="A38" s="227" t="s">
        <v>165</v>
      </c>
      <c r="B38" s="11">
        <v>650</v>
      </c>
      <c r="C38" s="15" t="s">
        <v>165</v>
      </c>
      <c r="D38" s="11"/>
      <c r="E38" s="11">
        <f t="shared" si="14"/>
        <v>650</v>
      </c>
      <c r="F38" s="13">
        <f t="shared" si="13"/>
        <v>0</v>
      </c>
      <c r="G38" s="14"/>
      <c r="H38" s="186"/>
      <c r="I38" s="11"/>
      <c r="J38" s="11"/>
      <c r="K38" s="11"/>
      <c r="L38" s="11"/>
      <c r="M38" s="11"/>
      <c r="N38" s="11"/>
      <c r="O38" s="11"/>
      <c r="P38" s="252"/>
    </row>
    <row r="39" ht="25" customHeight="1" spans="1:16">
      <c r="A39" s="231" t="s">
        <v>27</v>
      </c>
      <c r="B39" s="232">
        <f t="shared" ref="B39:G39" si="17">B32+B6</f>
        <v>24527.5</v>
      </c>
      <c r="C39" s="233"/>
      <c r="D39" s="232">
        <f t="shared" si="17"/>
        <v>12474.28</v>
      </c>
      <c r="E39" s="232">
        <f t="shared" si="17"/>
        <v>11403.22</v>
      </c>
      <c r="F39" s="234">
        <f t="shared" si="13"/>
        <v>50.8583426765875</v>
      </c>
      <c r="G39" s="234">
        <f t="shared" si="17"/>
        <v>12474.28263</v>
      </c>
      <c r="H39" s="235">
        <f t="shared" ref="H39:H49" si="18">SUM(I39:N39)</f>
        <v>9357.2</v>
      </c>
      <c r="I39" s="232">
        <f t="shared" ref="I39:L39" si="19">I32+I6</f>
        <v>4615.9</v>
      </c>
      <c r="J39" s="232">
        <f t="shared" si="19"/>
        <v>4549.6</v>
      </c>
      <c r="K39" s="232"/>
      <c r="L39" s="232">
        <f t="shared" si="19"/>
        <v>191.7</v>
      </c>
      <c r="M39" s="232"/>
      <c r="N39" s="232"/>
      <c r="O39" s="232">
        <f>O32+O6</f>
        <v>168</v>
      </c>
      <c r="P39" s="255"/>
    </row>
    <row r="40" ht="40" customHeight="1" spans="1:16">
      <c r="A40" s="236" t="s">
        <v>170</v>
      </c>
      <c r="B40" s="237">
        <f>SUM(B41:B49)</f>
        <v>19622.5</v>
      </c>
      <c r="C40" s="237">
        <f t="shared" ref="C40:P40" si="20">SUM(C41:C49)</f>
        <v>0</v>
      </c>
      <c r="D40" s="238">
        <f t="shared" si="20"/>
        <v>12474.28263</v>
      </c>
      <c r="E40" s="237">
        <f t="shared" si="20"/>
        <v>7148.21737</v>
      </c>
      <c r="F40" s="238">
        <f t="shared" si="13"/>
        <v>63.5713218499172</v>
      </c>
      <c r="G40" s="238">
        <f t="shared" ref="G40:G49" si="21">H40+O40+P40</f>
        <v>12474.28263</v>
      </c>
      <c r="H40" s="238">
        <f t="shared" si="20"/>
        <v>12290.04163</v>
      </c>
      <c r="I40" s="238">
        <f t="shared" si="20"/>
        <v>4615.9</v>
      </c>
      <c r="J40" s="238">
        <f t="shared" si="20"/>
        <v>4549.6</v>
      </c>
      <c r="K40" s="238">
        <f t="shared" si="20"/>
        <v>1678.5</v>
      </c>
      <c r="L40" s="238">
        <f t="shared" si="20"/>
        <v>191.7</v>
      </c>
      <c r="M40" s="238">
        <f t="shared" si="20"/>
        <v>550</v>
      </c>
      <c r="N40" s="238">
        <f t="shared" si="20"/>
        <v>704.34163</v>
      </c>
      <c r="O40" s="238">
        <f t="shared" si="20"/>
        <v>168</v>
      </c>
      <c r="P40" s="256">
        <f t="shared" si="20"/>
        <v>16.241</v>
      </c>
    </row>
    <row r="41" ht="40" customHeight="1" spans="1:16">
      <c r="A41" s="227" t="s">
        <v>148</v>
      </c>
      <c r="B41" s="11">
        <f t="shared" ref="B41:B44" si="22">B9</f>
        <v>168</v>
      </c>
      <c r="C41" s="24"/>
      <c r="D41" s="13">
        <v>168</v>
      </c>
      <c r="E41" s="13">
        <f t="shared" ref="E41:E49" si="23">B41-D41</f>
        <v>0</v>
      </c>
      <c r="F41" s="13">
        <f t="shared" si="13"/>
        <v>100</v>
      </c>
      <c r="G41" s="239">
        <f t="shared" si="21"/>
        <v>168</v>
      </c>
      <c r="H41" s="13">
        <f t="shared" si="18"/>
        <v>0</v>
      </c>
      <c r="I41" s="13"/>
      <c r="J41" s="13"/>
      <c r="K41" s="13"/>
      <c r="L41" s="13"/>
      <c r="M41" s="13"/>
      <c r="N41" s="13"/>
      <c r="O41" s="13">
        <v>168</v>
      </c>
      <c r="P41" s="253"/>
    </row>
    <row r="42" ht="40" customHeight="1" spans="1:16">
      <c r="A42" s="227" t="s">
        <v>150</v>
      </c>
      <c r="B42" s="11">
        <f>B10+B23+B25+B33+B35+B37</f>
        <v>8214.5</v>
      </c>
      <c r="C42" s="24"/>
      <c r="D42" s="13">
        <v>7971</v>
      </c>
      <c r="E42" s="13">
        <f t="shared" si="23"/>
        <v>243.5</v>
      </c>
      <c r="F42" s="13">
        <f t="shared" si="13"/>
        <v>97.0357295027086</v>
      </c>
      <c r="G42" s="239">
        <f t="shared" si="21"/>
        <v>7971</v>
      </c>
      <c r="H42" s="13">
        <f t="shared" si="18"/>
        <v>7971</v>
      </c>
      <c r="I42" s="13">
        <v>4615.9</v>
      </c>
      <c r="J42" s="13">
        <f>J23+J33</f>
        <v>1676.6</v>
      </c>
      <c r="K42" s="13">
        <f>K35+K25</f>
        <v>1678.5</v>
      </c>
      <c r="L42" s="13"/>
      <c r="M42" s="13"/>
      <c r="N42" s="13"/>
      <c r="O42" s="13"/>
      <c r="P42" s="253"/>
    </row>
    <row r="43" ht="40" customHeight="1" spans="1:16">
      <c r="A43" s="227" t="s">
        <v>152</v>
      </c>
      <c r="B43" s="11">
        <f t="shared" si="22"/>
        <v>2058</v>
      </c>
      <c r="C43" s="24"/>
      <c r="D43" s="13">
        <v>0</v>
      </c>
      <c r="E43" s="13">
        <f t="shared" si="23"/>
        <v>2058</v>
      </c>
      <c r="F43" s="13">
        <f t="shared" si="13"/>
        <v>0</v>
      </c>
      <c r="G43" s="239">
        <f t="shared" si="21"/>
        <v>0</v>
      </c>
      <c r="H43" s="13">
        <f t="shared" si="18"/>
        <v>0</v>
      </c>
      <c r="I43" s="13"/>
      <c r="J43" s="13"/>
      <c r="K43" s="13"/>
      <c r="L43" s="13"/>
      <c r="M43" s="13"/>
      <c r="N43" s="13"/>
      <c r="O43" s="13"/>
      <c r="P43" s="253"/>
    </row>
    <row r="44" ht="40" customHeight="1" spans="1:16">
      <c r="A44" s="227" t="s">
        <v>154</v>
      </c>
      <c r="B44" s="11">
        <f t="shared" si="22"/>
        <v>567</v>
      </c>
      <c r="C44" s="24"/>
      <c r="D44" s="13">
        <v>567</v>
      </c>
      <c r="E44" s="13">
        <f t="shared" si="23"/>
        <v>0</v>
      </c>
      <c r="F44" s="13">
        <f t="shared" si="13"/>
        <v>100</v>
      </c>
      <c r="G44" s="239">
        <f t="shared" si="21"/>
        <v>567</v>
      </c>
      <c r="H44" s="13">
        <f t="shared" si="18"/>
        <v>567</v>
      </c>
      <c r="I44" s="13"/>
      <c r="J44" s="13"/>
      <c r="K44" s="13"/>
      <c r="L44" s="13"/>
      <c r="M44" s="13"/>
      <c r="N44" s="13">
        <v>567</v>
      </c>
      <c r="O44" s="13"/>
      <c r="P44" s="253"/>
    </row>
    <row r="45" ht="40" customHeight="1" spans="1:16">
      <c r="A45" s="227" t="s">
        <v>36</v>
      </c>
      <c r="B45" s="11">
        <f>B13+B26+B27</f>
        <v>3576</v>
      </c>
      <c r="C45" s="24"/>
      <c r="D45" s="13">
        <v>249.59388</v>
      </c>
      <c r="E45" s="13">
        <f t="shared" si="23"/>
        <v>3326.40612</v>
      </c>
      <c r="F45" s="13">
        <f t="shared" si="13"/>
        <v>6.97969463087248</v>
      </c>
      <c r="G45" s="239">
        <f t="shared" si="21"/>
        <v>249.59388</v>
      </c>
      <c r="H45" s="13">
        <f t="shared" si="18"/>
        <v>233.35288</v>
      </c>
      <c r="I45" s="13"/>
      <c r="J45" s="13"/>
      <c r="K45" s="13"/>
      <c r="L45" s="13">
        <v>191.7</v>
      </c>
      <c r="M45" s="13"/>
      <c r="N45" s="13">
        <f t="shared" ref="N45:P45" si="24">N13</f>
        <v>41.65288</v>
      </c>
      <c r="O45" s="13">
        <f t="shared" si="24"/>
        <v>0</v>
      </c>
      <c r="P45" s="253">
        <f t="shared" si="24"/>
        <v>16.241</v>
      </c>
    </row>
    <row r="46" ht="40" customHeight="1" spans="1:16">
      <c r="A46" s="227" t="s">
        <v>33</v>
      </c>
      <c r="B46" s="11">
        <f>B14+B22</f>
        <v>3260</v>
      </c>
      <c r="C46" s="24"/>
      <c r="D46" s="13">
        <v>2968.68875</v>
      </c>
      <c r="E46" s="13">
        <f t="shared" si="23"/>
        <v>291.31125</v>
      </c>
      <c r="F46" s="13">
        <f t="shared" si="13"/>
        <v>91.0640720858896</v>
      </c>
      <c r="G46" s="239">
        <f t="shared" si="21"/>
        <v>2968.68875</v>
      </c>
      <c r="H46" s="13">
        <f t="shared" si="18"/>
        <v>2968.68875</v>
      </c>
      <c r="I46" s="13"/>
      <c r="J46" s="13">
        <f>J14+J22</f>
        <v>2873</v>
      </c>
      <c r="K46" s="13"/>
      <c r="L46" s="13"/>
      <c r="M46" s="13"/>
      <c r="N46" s="13">
        <f>N14</f>
        <v>95.68875</v>
      </c>
      <c r="O46" s="13"/>
      <c r="P46" s="253"/>
    </row>
    <row r="47" ht="40" customHeight="1" spans="1:16">
      <c r="A47" s="227" t="s">
        <v>56</v>
      </c>
      <c r="B47" s="11">
        <f>B15</f>
        <v>329</v>
      </c>
      <c r="C47" s="24"/>
      <c r="D47" s="13">
        <v>0</v>
      </c>
      <c r="E47" s="13">
        <f t="shared" si="23"/>
        <v>329</v>
      </c>
      <c r="F47" s="13">
        <f t="shared" si="13"/>
        <v>0</v>
      </c>
      <c r="G47" s="239">
        <f t="shared" si="21"/>
        <v>0</v>
      </c>
      <c r="H47" s="13">
        <f t="shared" si="18"/>
        <v>0</v>
      </c>
      <c r="I47" s="13"/>
      <c r="J47" s="13"/>
      <c r="K47" s="13"/>
      <c r="L47" s="13"/>
      <c r="M47" s="13"/>
      <c r="N47" s="13"/>
      <c r="O47" s="13"/>
      <c r="P47" s="253"/>
    </row>
    <row r="48" ht="40" customHeight="1" spans="1:16">
      <c r="A48" s="227" t="s">
        <v>39</v>
      </c>
      <c r="B48" s="11">
        <f>B16</f>
        <v>50</v>
      </c>
      <c r="C48" s="24"/>
      <c r="D48" s="13">
        <v>0</v>
      </c>
      <c r="E48" s="13">
        <f t="shared" si="23"/>
        <v>50</v>
      </c>
      <c r="F48" s="13">
        <f t="shared" si="13"/>
        <v>0</v>
      </c>
      <c r="G48" s="239">
        <f t="shared" si="21"/>
        <v>0</v>
      </c>
      <c r="H48" s="13">
        <f t="shared" si="18"/>
        <v>0</v>
      </c>
      <c r="I48" s="13"/>
      <c r="J48" s="13"/>
      <c r="K48" s="13"/>
      <c r="L48" s="13"/>
      <c r="M48" s="13"/>
      <c r="N48" s="13"/>
      <c r="O48" s="13"/>
      <c r="P48" s="253"/>
    </row>
    <row r="49" ht="40" customHeight="1" spans="1:16">
      <c r="A49" s="231" t="s">
        <v>37</v>
      </c>
      <c r="B49" s="232">
        <f>B24+B34+B36</f>
        <v>1400</v>
      </c>
      <c r="C49" s="240"/>
      <c r="D49" s="234">
        <v>550</v>
      </c>
      <c r="E49" s="234">
        <f t="shared" si="23"/>
        <v>850</v>
      </c>
      <c r="F49" s="234">
        <f t="shared" si="13"/>
        <v>39.2857142857143</v>
      </c>
      <c r="G49" s="241">
        <f t="shared" si="21"/>
        <v>550</v>
      </c>
      <c r="H49" s="234">
        <f t="shared" si="18"/>
        <v>550</v>
      </c>
      <c r="I49" s="234"/>
      <c r="J49" s="234"/>
      <c r="K49" s="234"/>
      <c r="L49" s="234"/>
      <c r="M49" s="234">
        <v>550</v>
      </c>
      <c r="N49" s="234"/>
      <c r="O49" s="234"/>
      <c r="P49" s="257"/>
    </row>
  </sheetData>
  <mergeCells count="14">
    <mergeCell ref="A1:P1"/>
    <mergeCell ref="C2:K2"/>
    <mergeCell ref="O2:P2"/>
    <mergeCell ref="G3:P3"/>
    <mergeCell ref="H4:N4"/>
    <mergeCell ref="A3:A5"/>
    <mergeCell ref="B3:B5"/>
    <mergeCell ref="C3:C5"/>
    <mergeCell ref="D3:D5"/>
    <mergeCell ref="E3:E5"/>
    <mergeCell ref="F3:F5"/>
    <mergeCell ref="G4:G5"/>
    <mergeCell ref="O4:O5"/>
    <mergeCell ref="P4:P5"/>
  </mergeCells>
  <pageMargins left="0.609027777777778" right="0.354166666666667" top="0.393055555555556" bottom="0.196527777777778" header="0.511805555555556" footer="0.511805555555556"/>
  <pageSetup paperSize="9" scale="54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9"/>
  <sheetViews>
    <sheetView showZeros="0" zoomScale="72" zoomScaleNormal="72" workbookViewId="0">
      <pane xSplit="1" ySplit="5" topLeftCell="B6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34.8916666666667" customWidth="1"/>
    <col min="2" max="2" width="11.6666666666667" customWidth="1"/>
    <col min="3" max="3" width="35.5916666666667" customWidth="1"/>
    <col min="4" max="4" width="11.9166666666667" customWidth="1"/>
    <col min="5" max="5" width="12.0833333333333" customWidth="1"/>
    <col min="6" max="6" width="10.75" customWidth="1"/>
    <col min="7" max="7" width="12.15" customWidth="1"/>
    <col min="8" max="8" width="13.1916666666667" customWidth="1"/>
    <col min="9" max="9" width="12.25" customWidth="1"/>
    <col min="10" max="10" width="12.9166666666667" customWidth="1"/>
    <col min="11" max="11" width="13.1666666666667" customWidth="1"/>
    <col min="12" max="12" width="10.5916666666667" customWidth="1"/>
    <col min="13" max="13" width="11.25" customWidth="1"/>
    <col min="14" max="14" width="12.5" customWidth="1"/>
    <col min="15" max="15" width="9.75" customWidth="1"/>
    <col min="16" max="16" width="10.75" customWidth="1"/>
  </cols>
  <sheetData>
    <row r="1" ht="22" customHeight="1" spans="1:16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9" customHeight="1" spans="1:16">
      <c r="A2" s="2" t="s">
        <v>118</v>
      </c>
      <c r="B2" s="3"/>
      <c r="C2" s="212">
        <v>43606</v>
      </c>
      <c r="D2" s="212"/>
      <c r="E2" s="212"/>
      <c r="F2" s="212"/>
      <c r="G2" s="212"/>
      <c r="H2" s="212"/>
      <c r="I2" s="212"/>
      <c r="J2" s="212"/>
      <c r="K2" s="212"/>
      <c r="L2" s="16"/>
      <c r="M2" s="16"/>
      <c r="N2" s="16"/>
      <c r="O2" s="242" t="s">
        <v>3</v>
      </c>
      <c r="P2" s="242"/>
    </row>
    <row r="3" ht="23" customHeight="1" spans="1:16">
      <c r="A3" s="213" t="s">
        <v>134</v>
      </c>
      <c r="B3" s="214" t="s">
        <v>135</v>
      </c>
      <c r="C3" s="214" t="s">
        <v>62</v>
      </c>
      <c r="D3" s="215" t="s">
        <v>136</v>
      </c>
      <c r="E3" s="216" t="s">
        <v>137</v>
      </c>
      <c r="F3" s="215" t="s">
        <v>7</v>
      </c>
      <c r="G3" s="214" t="s">
        <v>65</v>
      </c>
      <c r="H3" s="214"/>
      <c r="I3" s="214"/>
      <c r="J3" s="214"/>
      <c r="K3" s="214"/>
      <c r="L3" s="214"/>
      <c r="M3" s="214"/>
      <c r="N3" s="214"/>
      <c r="O3" s="214"/>
      <c r="P3" s="243"/>
    </row>
    <row r="4" ht="23" customHeight="1" spans="1:16">
      <c r="A4" s="217"/>
      <c r="B4" s="218"/>
      <c r="C4" s="218"/>
      <c r="D4" s="219"/>
      <c r="E4" s="220"/>
      <c r="F4" s="219"/>
      <c r="G4" s="221" t="s">
        <v>138</v>
      </c>
      <c r="H4" s="222" t="s">
        <v>139</v>
      </c>
      <c r="I4" s="244"/>
      <c r="J4" s="244"/>
      <c r="K4" s="244"/>
      <c r="L4" s="244"/>
      <c r="M4" s="244"/>
      <c r="N4" s="245"/>
      <c r="O4" s="246" t="s">
        <v>140</v>
      </c>
      <c r="P4" s="247" t="s">
        <v>141</v>
      </c>
    </row>
    <row r="5" ht="23" customHeight="1" spans="1:16">
      <c r="A5" s="223"/>
      <c r="B5" s="174"/>
      <c r="C5" s="174"/>
      <c r="D5" s="175"/>
      <c r="E5" s="219"/>
      <c r="F5" s="175"/>
      <c r="G5" s="218"/>
      <c r="H5" s="174" t="s">
        <v>66</v>
      </c>
      <c r="I5" s="174" t="s">
        <v>142</v>
      </c>
      <c r="J5" s="174" t="s">
        <v>143</v>
      </c>
      <c r="K5" s="174" t="s">
        <v>144</v>
      </c>
      <c r="L5" s="175" t="s">
        <v>69</v>
      </c>
      <c r="M5" s="175" t="s">
        <v>145</v>
      </c>
      <c r="N5" s="174" t="s">
        <v>131</v>
      </c>
      <c r="O5" s="248"/>
      <c r="P5" s="249"/>
    </row>
    <row r="6" ht="23" customHeight="1" spans="1:16">
      <c r="A6" s="224" t="s">
        <v>93</v>
      </c>
      <c r="B6" s="186">
        <f>B7+B17+B21+B27</f>
        <v>21527.5</v>
      </c>
      <c r="C6" s="186">
        <f>SUM(C7,C21,C27)</f>
        <v>0</v>
      </c>
      <c r="D6" s="186">
        <f>D7+D17+D21+D27</f>
        <v>14057.68</v>
      </c>
      <c r="E6" s="186">
        <f>E7+E17+E21+E27</f>
        <v>7469.82</v>
      </c>
      <c r="F6" s="13">
        <f>D6/B6*100</f>
        <v>65.3010335617234</v>
      </c>
      <c r="G6" s="14">
        <f>G7+G17+G21+G27</f>
        <v>14057.68263</v>
      </c>
      <c r="H6" s="186">
        <f>SUM(I6:N6)</f>
        <v>13169.1</v>
      </c>
      <c r="I6" s="186">
        <f>SUM(I7,I21,I27)</f>
        <v>4615.9</v>
      </c>
      <c r="J6" s="186">
        <f>J7+J17+J21+J27</f>
        <v>6503</v>
      </c>
      <c r="K6" s="186">
        <f t="shared" ref="I6:P6" si="0">SUM(K7,K21,K27)</f>
        <v>1338.5</v>
      </c>
      <c r="L6" s="186">
        <f t="shared" si="0"/>
        <v>191.7</v>
      </c>
      <c r="M6" s="186">
        <f t="shared" si="0"/>
        <v>520</v>
      </c>
      <c r="N6" s="14">
        <f t="shared" si="0"/>
        <v>0</v>
      </c>
      <c r="O6" s="186">
        <f t="shared" si="0"/>
        <v>168</v>
      </c>
      <c r="P6" s="250">
        <f t="shared" si="0"/>
        <v>16.241</v>
      </c>
    </row>
    <row r="7" ht="23" customHeight="1" spans="1:16">
      <c r="A7" s="225" t="s">
        <v>146</v>
      </c>
      <c r="B7" s="186">
        <f t="shared" ref="B7:P7" si="1">SUM(B8,B15,B16)</f>
        <v>11415</v>
      </c>
      <c r="C7" s="186">
        <f t="shared" si="1"/>
        <v>0</v>
      </c>
      <c r="D7" s="186">
        <f t="shared" si="1"/>
        <v>8365.18</v>
      </c>
      <c r="E7" s="186">
        <f t="shared" si="1"/>
        <v>3049.82</v>
      </c>
      <c r="F7" s="14">
        <f t="shared" si="1"/>
        <v>75.7990213845596</v>
      </c>
      <c r="G7" s="14">
        <f t="shared" si="1"/>
        <v>8365.18263</v>
      </c>
      <c r="H7" s="186">
        <f t="shared" si="1"/>
        <v>7476.6</v>
      </c>
      <c r="I7" s="186">
        <f t="shared" si="1"/>
        <v>4615.9</v>
      </c>
      <c r="J7" s="186">
        <f t="shared" si="1"/>
        <v>2669</v>
      </c>
      <c r="K7" s="186">
        <f t="shared" si="1"/>
        <v>0</v>
      </c>
      <c r="L7" s="186">
        <f t="shared" si="1"/>
        <v>191.7</v>
      </c>
      <c r="M7" s="186">
        <f t="shared" si="1"/>
        <v>0</v>
      </c>
      <c r="N7" s="14">
        <f t="shared" si="1"/>
        <v>0</v>
      </c>
      <c r="O7" s="186">
        <f t="shared" si="1"/>
        <v>168</v>
      </c>
      <c r="P7" s="250">
        <f t="shared" si="1"/>
        <v>16.241</v>
      </c>
    </row>
    <row r="8" ht="23" customHeight="1" spans="1:16">
      <c r="A8" s="226" t="s">
        <v>147</v>
      </c>
      <c r="B8" s="186">
        <f t="shared" ref="B8:G8" si="2">SUM(B9:B14)</f>
        <v>11036</v>
      </c>
      <c r="C8" s="187"/>
      <c r="D8" s="186">
        <f t="shared" si="2"/>
        <v>8365.18</v>
      </c>
      <c r="E8" s="186">
        <f t="shared" si="2"/>
        <v>2670.82</v>
      </c>
      <c r="F8" s="13">
        <f t="shared" ref="F6:F49" si="3">D8/B8*100</f>
        <v>75.7990213845596</v>
      </c>
      <c r="G8" s="14">
        <f>SUM(G9:G14)</f>
        <v>8365.18263</v>
      </c>
      <c r="H8" s="186">
        <f>SUM(I8:N8)</f>
        <v>7476.6</v>
      </c>
      <c r="I8" s="186">
        <f>I9+I10+I11+I12+I13+I14</f>
        <v>4615.9</v>
      </c>
      <c r="J8" s="186">
        <f>J9+J10+J11+J12+J13+J14</f>
        <v>2669</v>
      </c>
      <c r="K8" s="186">
        <f>K9+K10+K11+K12+K13+K14</f>
        <v>0</v>
      </c>
      <c r="L8" s="186">
        <f>L9+L10+L11+L12+L13+L14</f>
        <v>191.7</v>
      </c>
      <c r="M8" s="186">
        <f>M9+M10+M11+M12+M13+M14</f>
        <v>0</v>
      </c>
      <c r="N8" s="14"/>
      <c r="O8" s="186">
        <f>SUM(O9:O14)</f>
        <v>168</v>
      </c>
      <c r="P8" s="250">
        <f>SUM(P9:P14)</f>
        <v>16.241</v>
      </c>
    </row>
    <row r="9" ht="25" customHeight="1" spans="1:16">
      <c r="A9" s="227" t="s">
        <v>148</v>
      </c>
      <c r="B9" s="11">
        <v>168</v>
      </c>
      <c r="C9" s="15" t="s">
        <v>149</v>
      </c>
      <c r="D9" s="11">
        <v>168</v>
      </c>
      <c r="E9" s="11">
        <f>B9-D9</f>
        <v>0</v>
      </c>
      <c r="F9" s="13">
        <f t="shared" si="3"/>
        <v>100</v>
      </c>
      <c r="G9" s="13">
        <f t="shared" ref="G9:G14" si="4">SUM(I9:P9)</f>
        <v>168</v>
      </c>
      <c r="H9" s="186">
        <f>I9+J9+K9+L9+M9+N9</f>
        <v>0</v>
      </c>
      <c r="I9" s="11"/>
      <c r="J9" s="11"/>
      <c r="K9" s="11"/>
      <c r="L9" s="251"/>
      <c r="M9" s="251"/>
      <c r="N9" s="196"/>
      <c r="O9" s="11">
        <v>168</v>
      </c>
      <c r="P9" s="252"/>
    </row>
    <row r="10" ht="45.5" customHeight="1" spans="1:16">
      <c r="A10" s="227" t="s">
        <v>150</v>
      </c>
      <c r="B10" s="11">
        <v>4631</v>
      </c>
      <c r="C10" s="39" t="s">
        <v>151</v>
      </c>
      <c r="D10" s="11">
        <v>4615.9</v>
      </c>
      <c r="E10" s="11">
        <f t="shared" ref="E9:E20" si="5">B10-D10</f>
        <v>15.1000000000004</v>
      </c>
      <c r="F10" s="13">
        <f t="shared" si="3"/>
        <v>99.6739365147916</v>
      </c>
      <c r="G10" s="13">
        <f t="shared" si="4"/>
        <v>4615.9</v>
      </c>
      <c r="H10" s="14">
        <f t="shared" ref="H9:H14" si="6">I10+J10+K10+L10+M10+N10</f>
        <v>4615.9</v>
      </c>
      <c r="I10" s="11">
        <v>4615.9</v>
      </c>
      <c r="J10" s="11"/>
      <c r="K10" s="11"/>
      <c r="L10" s="11"/>
      <c r="M10" s="11"/>
      <c r="N10" s="13"/>
      <c r="O10" s="11"/>
      <c r="P10" s="252"/>
    </row>
    <row r="11" ht="25" customHeight="1" spans="1:16">
      <c r="A11" s="227" t="s">
        <v>152</v>
      </c>
      <c r="B11" s="11">
        <v>2058</v>
      </c>
      <c r="C11" s="15" t="s">
        <v>153</v>
      </c>
      <c r="D11" s="11"/>
      <c r="E11" s="11">
        <f t="shared" si="5"/>
        <v>2058</v>
      </c>
      <c r="F11" s="13">
        <f t="shared" si="3"/>
        <v>0</v>
      </c>
      <c r="G11" s="13">
        <f t="shared" si="4"/>
        <v>0</v>
      </c>
      <c r="H11" s="14">
        <f t="shared" si="6"/>
        <v>0</v>
      </c>
      <c r="I11" s="11"/>
      <c r="J11" s="11"/>
      <c r="K11" s="11"/>
      <c r="L11" s="11"/>
      <c r="M11" s="11"/>
      <c r="N11" s="13"/>
      <c r="O11" s="11"/>
      <c r="P11" s="252"/>
    </row>
    <row r="12" ht="25" customHeight="1" spans="1:16">
      <c r="A12" s="227" t="s">
        <v>154</v>
      </c>
      <c r="B12" s="11">
        <v>567</v>
      </c>
      <c r="C12" s="15" t="s">
        <v>155</v>
      </c>
      <c r="D12" s="11">
        <v>567</v>
      </c>
      <c r="E12" s="11">
        <f t="shared" si="5"/>
        <v>0</v>
      </c>
      <c r="F12" s="13">
        <f t="shared" si="3"/>
        <v>100</v>
      </c>
      <c r="G12" s="13">
        <f t="shared" si="4"/>
        <v>567</v>
      </c>
      <c r="H12" s="14">
        <f t="shared" si="6"/>
        <v>567</v>
      </c>
      <c r="I12" s="251"/>
      <c r="J12" s="11"/>
      <c r="K12" s="11"/>
      <c r="L12" s="11"/>
      <c r="M12" s="11"/>
      <c r="N12" s="13">
        <v>567</v>
      </c>
      <c r="O12" s="11"/>
      <c r="P12" s="252"/>
    </row>
    <row r="13" ht="41.5" customHeight="1" spans="1:16">
      <c r="A13" s="227" t="s">
        <v>36</v>
      </c>
      <c r="B13" s="11">
        <f>176+380</f>
        <v>556</v>
      </c>
      <c r="C13" s="39" t="s">
        <v>156</v>
      </c>
      <c r="D13" s="11">
        <v>249.59</v>
      </c>
      <c r="E13" s="11">
        <f t="shared" si="5"/>
        <v>306.41</v>
      </c>
      <c r="F13" s="13">
        <f t="shared" si="3"/>
        <v>44.8902877697842</v>
      </c>
      <c r="G13" s="13">
        <f t="shared" si="4"/>
        <v>249.59388</v>
      </c>
      <c r="H13" s="14">
        <f t="shared" si="6"/>
        <v>233.35288</v>
      </c>
      <c r="I13" s="11"/>
      <c r="J13" s="11"/>
      <c r="K13" s="11"/>
      <c r="L13" s="11">
        <v>191.7</v>
      </c>
      <c r="M13" s="11"/>
      <c r="N13" s="13">
        <v>41.65288</v>
      </c>
      <c r="O13" s="11"/>
      <c r="P13" s="252">
        <v>16.241</v>
      </c>
    </row>
    <row r="14" ht="45" customHeight="1" spans="1:16">
      <c r="A14" s="227" t="s">
        <v>33</v>
      </c>
      <c r="B14" s="11">
        <f>387+2669</f>
        <v>3056</v>
      </c>
      <c r="C14" s="15" t="s">
        <v>157</v>
      </c>
      <c r="D14" s="11">
        <f>2669+95.69</f>
        <v>2764.69</v>
      </c>
      <c r="E14" s="11">
        <f t="shared" si="5"/>
        <v>291.31</v>
      </c>
      <c r="F14" s="13">
        <f t="shared" si="3"/>
        <v>90.4676047120419</v>
      </c>
      <c r="G14" s="13">
        <f t="shared" si="4"/>
        <v>2764.68875</v>
      </c>
      <c r="H14" s="14">
        <f t="shared" si="6"/>
        <v>2764.68875</v>
      </c>
      <c r="I14" s="11"/>
      <c r="J14" s="11">
        <v>2669</v>
      </c>
      <c r="K14" s="11"/>
      <c r="L14" s="11"/>
      <c r="M14" s="11"/>
      <c r="N14" s="13">
        <v>95.68875</v>
      </c>
      <c r="O14" s="11"/>
      <c r="P14" s="252"/>
    </row>
    <row r="15" ht="25" customHeight="1" spans="1:16">
      <c r="A15" s="228" t="s">
        <v>158</v>
      </c>
      <c r="B15" s="11">
        <v>329</v>
      </c>
      <c r="C15" s="15" t="s">
        <v>159</v>
      </c>
      <c r="D15" s="11">
        <v>0</v>
      </c>
      <c r="E15" s="11">
        <f t="shared" si="5"/>
        <v>329</v>
      </c>
      <c r="F15" s="13">
        <f t="shared" si="3"/>
        <v>0</v>
      </c>
      <c r="G15" s="13">
        <f t="shared" ref="G15:G20" si="7">SUM(I15:P15)</f>
        <v>0</v>
      </c>
      <c r="H15" s="14">
        <f t="shared" ref="H15:H20" si="8">SUM(I15:N15)</f>
        <v>0</v>
      </c>
      <c r="I15" s="11">
        <v>0</v>
      </c>
      <c r="J15" s="11"/>
      <c r="K15" s="11"/>
      <c r="L15" s="11"/>
      <c r="M15" s="11"/>
      <c r="N15" s="13"/>
      <c r="O15" s="11"/>
      <c r="P15" s="252"/>
    </row>
    <row r="16" ht="25" customHeight="1" spans="1:16">
      <c r="A16" s="228" t="s">
        <v>160</v>
      </c>
      <c r="B16" s="11">
        <v>50</v>
      </c>
      <c r="C16" s="15" t="s">
        <v>161</v>
      </c>
      <c r="D16" s="11">
        <v>0</v>
      </c>
      <c r="E16" s="11">
        <f t="shared" si="5"/>
        <v>50</v>
      </c>
      <c r="F16" s="13">
        <f t="shared" si="3"/>
        <v>0</v>
      </c>
      <c r="G16" s="13">
        <f t="shared" si="7"/>
        <v>0</v>
      </c>
      <c r="H16" s="14">
        <f t="shared" si="8"/>
        <v>0</v>
      </c>
      <c r="I16" s="11"/>
      <c r="J16" s="11"/>
      <c r="K16" s="11"/>
      <c r="L16" s="11"/>
      <c r="M16" s="11"/>
      <c r="N16" s="13"/>
      <c r="O16" s="11"/>
      <c r="P16" s="252">
        <v>0</v>
      </c>
    </row>
    <row r="17" ht="25" customHeight="1" spans="1:16">
      <c r="A17" s="225" t="s">
        <v>171</v>
      </c>
      <c r="B17" s="11">
        <f>B18+B19+B20</f>
        <v>4255</v>
      </c>
      <c r="C17" s="15"/>
      <c r="D17" s="13">
        <f>D18+D19+D20</f>
        <v>2855</v>
      </c>
      <c r="E17" s="11">
        <f t="shared" si="5"/>
        <v>1400</v>
      </c>
      <c r="F17" s="13">
        <f t="shared" si="3"/>
        <v>67.0975323149236</v>
      </c>
      <c r="G17" s="13">
        <f t="shared" si="7"/>
        <v>2855</v>
      </c>
      <c r="H17" s="13">
        <f>H18+H19+H20</f>
        <v>2855</v>
      </c>
      <c r="I17" s="13">
        <f t="shared" ref="H17:P17" si="9">I18+I19+I20</f>
        <v>0</v>
      </c>
      <c r="J17" s="13">
        <f t="shared" si="9"/>
        <v>2855</v>
      </c>
      <c r="K17" s="13">
        <f t="shared" si="9"/>
        <v>0</v>
      </c>
      <c r="L17" s="13">
        <f t="shared" si="9"/>
        <v>0</v>
      </c>
      <c r="M17" s="13">
        <f t="shared" si="9"/>
        <v>0</v>
      </c>
      <c r="N17" s="13">
        <f t="shared" si="9"/>
        <v>0</v>
      </c>
      <c r="O17" s="13">
        <f t="shared" si="9"/>
        <v>0</v>
      </c>
      <c r="P17" s="253">
        <f t="shared" si="9"/>
        <v>0</v>
      </c>
    </row>
    <row r="18" ht="29" customHeight="1" spans="1:16">
      <c r="A18" s="227" t="s">
        <v>148</v>
      </c>
      <c r="B18" s="11">
        <v>1329</v>
      </c>
      <c r="C18" s="15" t="s">
        <v>174</v>
      </c>
      <c r="D18" s="13"/>
      <c r="E18" s="11">
        <f t="shared" si="5"/>
        <v>1329</v>
      </c>
      <c r="F18" s="13">
        <f t="shared" si="3"/>
        <v>0</v>
      </c>
      <c r="G18" s="13">
        <f t="shared" si="7"/>
        <v>0</v>
      </c>
      <c r="H18" s="14">
        <f t="shared" si="8"/>
        <v>0</v>
      </c>
      <c r="I18" s="11"/>
      <c r="J18" s="11"/>
      <c r="K18" s="11"/>
      <c r="L18" s="11"/>
      <c r="M18" s="11"/>
      <c r="N18" s="13"/>
      <c r="O18" s="11"/>
      <c r="P18" s="252"/>
    </row>
    <row r="19" ht="25" customHeight="1" spans="1:16">
      <c r="A19" s="227" t="s">
        <v>150</v>
      </c>
      <c r="B19" s="11">
        <v>2855</v>
      </c>
      <c r="C19" s="15" t="s">
        <v>175</v>
      </c>
      <c r="D19" s="13">
        <v>2855</v>
      </c>
      <c r="E19" s="11">
        <f t="shared" si="5"/>
        <v>0</v>
      </c>
      <c r="F19" s="13">
        <f t="shared" si="3"/>
        <v>100</v>
      </c>
      <c r="G19" s="13">
        <f t="shared" si="7"/>
        <v>2855</v>
      </c>
      <c r="H19" s="14">
        <f t="shared" si="8"/>
        <v>2855</v>
      </c>
      <c r="I19" s="11"/>
      <c r="J19" s="13">
        <v>2855</v>
      </c>
      <c r="K19" s="11"/>
      <c r="L19" s="11"/>
      <c r="M19" s="11"/>
      <c r="N19" s="13"/>
      <c r="O19" s="11"/>
      <c r="P19" s="252"/>
    </row>
    <row r="20" ht="25" customHeight="1" spans="1:16">
      <c r="A20" s="227" t="s">
        <v>152</v>
      </c>
      <c r="B20" s="11">
        <v>71</v>
      </c>
      <c r="C20" s="15" t="s">
        <v>155</v>
      </c>
      <c r="D20" s="11"/>
      <c r="E20" s="11">
        <f t="shared" si="5"/>
        <v>71</v>
      </c>
      <c r="F20" s="13">
        <f t="shared" si="3"/>
        <v>0</v>
      </c>
      <c r="G20" s="13">
        <f t="shared" si="7"/>
        <v>0</v>
      </c>
      <c r="H20" s="14">
        <f t="shared" si="8"/>
        <v>0</v>
      </c>
      <c r="I20" s="11"/>
      <c r="J20" s="11"/>
      <c r="K20" s="11"/>
      <c r="L20" s="11"/>
      <c r="M20" s="11"/>
      <c r="N20" s="13"/>
      <c r="O20" s="11"/>
      <c r="P20" s="252"/>
    </row>
    <row r="21" ht="25" customHeight="1" spans="1:16">
      <c r="A21" s="229" t="s">
        <v>172</v>
      </c>
      <c r="B21" s="11">
        <f t="shared" ref="B21:P21" si="10">SUM(B22:B26)</f>
        <v>2857.5</v>
      </c>
      <c r="C21" s="189"/>
      <c r="D21" s="11">
        <f t="shared" si="10"/>
        <v>2837.5</v>
      </c>
      <c r="E21" s="11">
        <f t="shared" si="10"/>
        <v>20</v>
      </c>
      <c r="F21" s="13">
        <f t="shared" si="3"/>
        <v>99.3000874890639</v>
      </c>
      <c r="G21" s="13">
        <f>SUM(G22:G26)</f>
        <v>2837.5</v>
      </c>
      <c r="H21" s="13">
        <f t="shared" si="10"/>
        <v>2837.5</v>
      </c>
      <c r="I21" s="11">
        <f t="shared" si="10"/>
        <v>0</v>
      </c>
      <c r="J21" s="11">
        <f t="shared" si="10"/>
        <v>979</v>
      </c>
      <c r="K21" s="11">
        <f t="shared" si="10"/>
        <v>1338.5</v>
      </c>
      <c r="L21" s="11">
        <f t="shared" si="10"/>
        <v>0</v>
      </c>
      <c r="M21" s="11">
        <f t="shared" si="10"/>
        <v>520</v>
      </c>
      <c r="N21" s="13">
        <f t="shared" si="10"/>
        <v>0</v>
      </c>
      <c r="O21" s="11">
        <f t="shared" si="10"/>
        <v>0</v>
      </c>
      <c r="P21" s="252">
        <f t="shared" si="10"/>
        <v>0</v>
      </c>
    </row>
    <row r="22" ht="25" customHeight="1" spans="1:16">
      <c r="A22" s="227" t="s">
        <v>33</v>
      </c>
      <c r="B22" s="11">
        <v>204</v>
      </c>
      <c r="C22" s="15" t="s">
        <v>143</v>
      </c>
      <c r="D22" s="11">
        <v>204</v>
      </c>
      <c r="E22" s="11">
        <f t="shared" ref="E22:E31" si="11">B22-D22</f>
        <v>0</v>
      </c>
      <c r="F22" s="13">
        <f t="shared" si="3"/>
        <v>100</v>
      </c>
      <c r="G22" s="14">
        <f>H22+O22+P22</f>
        <v>204</v>
      </c>
      <c r="H22" s="14">
        <f t="shared" ref="H22:H27" si="12">SUM(I22:N22)</f>
        <v>204</v>
      </c>
      <c r="I22" s="11"/>
      <c r="J22" s="11">
        <v>204</v>
      </c>
      <c r="K22" s="11"/>
      <c r="L22" s="11"/>
      <c r="M22" s="11"/>
      <c r="N22" s="13"/>
      <c r="O22" s="11"/>
      <c r="P22" s="252"/>
    </row>
    <row r="23" ht="25" customHeight="1" spans="1:16">
      <c r="A23" s="227" t="s">
        <v>150</v>
      </c>
      <c r="B23" s="11">
        <v>775</v>
      </c>
      <c r="C23" s="15" t="s">
        <v>143</v>
      </c>
      <c r="D23" s="11">
        <v>775</v>
      </c>
      <c r="E23" s="11">
        <f t="shared" si="11"/>
        <v>0</v>
      </c>
      <c r="F23" s="13">
        <f t="shared" si="3"/>
        <v>100</v>
      </c>
      <c r="G23" s="14">
        <f t="shared" ref="G22:G31" si="13">H23+O23+P23</f>
        <v>775</v>
      </c>
      <c r="H23" s="14">
        <f t="shared" si="12"/>
        <v>775</v>
      </c>
      <c r="I23" s="11"/>
      <c r="J23" s="11">
        <v>775</v>
      </c>
      <c r="K23" s="11"/>
      <c r="L23" s="11"/>
      <c r="M23" s="11"/>
      <c r="N23" s="13"/>
      <c r="O23" s="11"/>
      <c r="P23" s="252"/>
    </row>
    <row r="24" ht="25" customHeight="1" spans="1:16">
      <c r="A24" s="227" t="s">
        <v>37</v>
      </c>
      <c r="B24" s="11">
        <v>520</v>
      </c>
      <c r="C24" s="15" t="s">
        <v>163</v>
      </c>
      <c r="D24" s="11">
        <v>520</v>
      </c>
      <c r="E24" s="11">
        <f t="shared" si="11"/>
        <v>0</v>
      </c>
      <c r="F24" s="13">
        <f t="shared" si="3"/>
        <v>100</v>
      </c>
      <c r="G24" s="14">
        <f t="shared" si="13"/>
        <v>520</v>
      </c>
      <c r="H24" s="14">
        <f t="shared" si="12"/>
        <v>520</v>
      </c>
      <c r="I24" s="11"/>
      <c r="J24" s="11"/>
      <c r="K24" s="11"/>
      <c r="L24" s="11"/>
      <c r="M24" s="11">
        <v>520</v>
      </c>
      <c r="N24" s="13"/>
      <c r="O24" s="11"/>
      <c r="P24" s="252"/>
    </row>
    <row r="25" ht="25" customHeight="1" spans="1:16">
      <c r="A25" s="227" t="s">
        <v>150</v>
      </c>
      <c r="B25" s="11">
        <v>1338.5</v>
      </c>
      <c r="C25" s="15" t="s">
        <v>164</v>
      </c>
      <c r="D25" s="11">
        <v>1338.5</v>
      </c>
      <c r="E25" s="11">
        <f t="shared" si="11"/>
        <v>0</v>
      </c>
      <c r="F25" s="13">
        <f t="shared" si="3"/>
        <v>100</v>
      </c>
      <c r="G25" s="14">
        <f t="shared" si="13"/>
        <v>1338.5</v>
      </c>
      <c r="H25" s="14">
        <f t="shared" si="12"/>
        <v>1338.5</v>
      </c>
      <c r="I25" s="11"/>
      <c r="J25" s="11"/>
      <c r="K25" s="11">
        <v>1338.5</v>
      </c>
      <c r="L25" s="11"/>
      <c r="M25" s="11"/>
      <c r="N25" s="13"/>
      <c r="O25" s="11"/>
      <c r="P25" s="252"/>
    </row>
    <row r="26" ht="25" customHeight="1" spans="1:16">
      <c r="A26" s="227" t="s">
        <v>36</v>
      </c>
      <c r="B26" s="11">
        <v>20</v>
      </c>
      <c r="C26" s="15" t="s">
        <v>165</v>
      </c>
      <c r="D26" s="11"/>
      <c r="E26" s="11">
        <f t="shared" si="11"/>
        <v>20</v>
      </c>
      <c r="F26" s="13">
        <f t="shared" si="3"/>
        <v>0</v>
      </c>
      <c r="G26" s="14">
        <f t="shared" si="13"/>
        <v>0</v>
      </c>
      <c r="H26" s="186">
        <f t="shared" si="12"/>
        <v>0</v>
      </c>
      <c r="I26" s="11"/>
      <c r="J26" s="11"/>
      <c r="K26" s="11"/>
      <c r="L26" s="11"/>
      <c r="M26" s="11"/>
      <c r="N26" s="13"/>
      <c r="O26" s="11"/>
      <c r="P26" s="254"/>
    </row>
    <row r="27" ht="25" customHeight="1" spans="1:16">
      <c r="A27" s="225" t="s">
        <v>173</v>
      </c>
      <c r="B27" s="11">
        <f>B28+B29+B30+B31</f>
        <v>3000</v>
      </c>
      <c r="C27" s="15"/>
      <c r="D27" s="11">
        <v>0</v>
      </c>
      <c r="E27" s="11">
        <f t="shared" si="11"/>
        <v>3000</v>
      </c>
      <c r="F27" s="13">
        <f t="shared" si="3"/>
        <v>0</v>
      </c>
      <c r="G27" s="14">
        <f t="shared" si="13"/>
        <v>0</v>
      </c>
      <c r="H27" s="186">
        <f t="shared" si="12"/>
        <v>0</v>
      </c>
      <c r="I27" s="11">
        <v>0</v>
      </c>
      <c r="J27" s="11"/>
      <c r="K27" s="11"/>
      <c r="L27" s="11"/>
      <c r="M27" s="11"/>
      <c r="N27" s="13"/>
      <c r="O27" s="11"/>
      <c r="P27" s="252"/>
    </row>
    <row r="28" ht="25" customHeight="1" spans="1:16">
      <c r="A28" s="227" t="s">
        <v>150</v>
      </c>
      <c r="B28" s="11">
        <v>20</v>
      </c>
      <c r="C28" s="15" t="s">
        <v>176</v>
      </c>
      <c r="D28" s="11"/>
      <c r="E28" s="11">
        <f t="shared" si="11"/>
        <v>20</v>
      </c>
      <c r="F28" s="13">
        <f t="shared" si="3"/>
        <v>0</v>
      </c>
      <c r="G28" s="14">
        <f t="shared" si="13"/>
        <v>0</v>
      </c>
      <c r="H28" s="186"/>
      <c r="I28" s="11"/>
      <c r="J28" s="11"/>
      <c r="K28" s="11"/>
      <c r="L28" s="11"/>
      <c r="M28" s="11"/>
      <c r="N28" s="13"/>
      <c r="O28" s="11"/>
      <c r="P28" s="252"/>
    </row>
    <row r="29" ht="25" customHeight="1" spans="1:16">
      <c r="A29" s="227" t="s">
        <v>35</v>
      </c>
      <c r="B29" s="11">
        <v>1000</v>
      </c>
      <c r="C29" s="15" t="s">
        <v>177</v>
      </c>
      <c r="D29" s="11"/>
      <c r="E29" s="11">
        <f t="shared" si="11"/>
        <v>1000</v>
      </c>
      <c r="F29" s="13">
        <f t="shared" si="3"/>
        <v>0</v>
      </c>
      <c r="G29" s="14">
        <f t="shared" si="13"/>
        <v>0</v>
      </c>
      <c r="H29" s="186"/>
      <c r="I29" s="11"/>
      <c r="J29" s="11"/>
      <c r="K29" s="11"/>
      <c r="L29" s="11"/>
      <c r="M29" s="11"/>
      <c r="N29" s="13"/>
      <c r="O29" s="11"/>
      <c r="P29" s="252"/>
    </row>
    <row r="30" ht="25" customHeight="1" spans="1:16">
      <c r="A30" s="227" t="s">
        <v>148</v>
      </c>
      <c r="B30" s="11">
        <v>1680</v>
      </c>
      <c r="C30" s="15" t="s">
        <v>174</v>
      </c>
      <c r="D30" s="11"/>
      <c r="E30" s="11">
        <f t="shared" si="11"/>
        <v>1680</v>
      </c>
      <c r="F30" s="13">
        <f t="shared" si="3"/>
        <v>0</v>
      </c>
      <c r="G30" s="14">
        <f t="shared" si="13"/>
        <v>0</v>
      </c>
      <c r="H30" s="186"/>
      <c r="I30" s="11"/>
      <c r="J30" s="11"/>
      <c r="K30" s="11"/>
      <c r="L30" s="11"/>
      <c r="M30" s="11"/>
      <c r="N30" s="13"/>
      <c r="O30" s="11"/>
      <c r="P30" s="252"/>
    </row>
    <row r="31" ht="25" customHeight="1" spans="1:16">
      <c r="A31" s="227" t="s">
        <v>36</v>
      </c>
      <c r="B31" s="11">
        <v>300</v>
      </c>
      <c r="C31" s="15" t="s">
        <v>178</v>
      </c>
      <c r="D31" s="11"/>
      <c r="E31" s="11">
        <f t="shared" si="11"/>
        <v>300</v>
      </c>
      <c r="F31" s="13">
        <f t="shared" si="3"/>
        <v>0</v>
      </c>
      <c r="G31" s="14">
        <f t="shared" si="13"/>
        <v>0</v>
      </c>
      <c r="H31" s="186"/>
      <c r="I31" s="11"/>
      <c r="J31" s="11"/>
      <c r="K31" s="11"/>
      <c r="L31" s="11"/>
      <c r="M31" s="11"/>
      <c r="N31" s="13"/>
      <c r="O31" s="11"/>
      <c r="P31" s="252"/>
    </row>
    <row r="32" ht="25" customHeight="1" spans="1:16">
      <c r="A32" s="230" t="s">
        <v>102</v>
      </c>
      <c r="B32" s="11">
        <f>SUM(B33:B38)</f>
        <v>3000</v>
      </c>
      <c r="C32" s="189"/>
      <c r="D32" s="11">
        <f t="shared" ref="D32:P32" si="14">SUM(D33:D37)</f>
        <v>1271.6</v>
      </c>
      <c r="E32" s="11">
        <f t="shared" si="14"/>
        <v>1078.4</v>
      </c>
      <c r="F32" s="13">
        <f t="shared" si="3"/>
        <v>42.3866666666667</v>
      </c>
      <c r="G32" s="14">
        <f t="shared" si="14"/>
        <v>1271.6</v>
      </c>
      <c r="H32" s="186">
        <f t="shared" si="14"/>
        <v>1271.6</v>
      </c>
      <c r="I32" s="186">
        <f t="shared" si="14"/>
        <v>0</v>
      </c>
      <c r="J32" s="186">
        <f t="shared" si="14"/>
        <v>901.6</v>
      </c>
      <c r="K32" s="186">
        <f t="shared" si="14"/>
        <v>340</v>
      </c>
      <c r="L32" s="186">
        <f t="shared" si="14"/>
        <v>0</v>
      </c>
      <c r="M32" s="186">
        <f t="shared" si="14"/>
        <v>30</v>
      </c>
      <c r="N32" s="14">
        <f t="shared" si="14"/>
        <v>0</v>
      </c>
      <c r="O32" s="186">
        <f t="shared" si="14"/>
        <v>0</v>
      </c>
      <c r="P32" s="250">
        <f t="shared" si="14"/>
        <v>0</v>
      </c>
    </row>
    <row r="33" ht="25" customHeight="1" spans="1:16">
      <c r="A33" s="227" t="s">
        <v>150</v>
      </c>
      <c r="B33" s="11">
        <v>1020</v>
      </c>
      <c r="C33" s="12" t="s">
        <v>167</v>
      </c>
      <c r="D33" s="11">
        <v>901.6</v>
      </c>
      <c r="E33" s="11">
        <f t="shared" ref="E33:E38" si="15">B33-D33</f>
        <v>118.4</v>
      </c>
      <c r="F33" s="13">
        <f t="shared" si="3"/>
        <v>88.3921568627451</v>
      </c>
      <c r="G33" s="14">
        <f t="shared" ref="G33:G37" si="16">H33+O33+P33</f>
        <v>901.6</v>
      </c>
      <c r="H33" s="186">
        <f t="shared" ref="H33:H37" si="17">SUM(I33:N33)</f>
        <v>901.6</v>
      </c>
      <c r="I33" s="11">
        <v>0</v>
      </c>
      <c r="J33" s="11">
        <v>901.6</v>
      </c>
      <c r="K33" s="11"/>
      <c r="L33" s="11"/>
      <c r="M33" s="11"/>
      <c r="N33" s="13"/>
      <c r="O33" s="11"/>
      <c r="P33" s="252"/>
    </row>
    <row r="34" ht="25" customHeight="1" spans="1:16">
      <c r="A34" s="227" t="s">
        <v>37</v>
      </c>
      <c r="B34" s="11">
        <v>100</v>
      </c>
      <c r="C34" s="15" t="s">
        <v>168</v>
      </c>
      <c r="D34" s="11">
        <v>0</v>
      </c>
      <c r="E34" s="11">
        <f t="shared" si="15"/>
        <v>100</v>
      </c>
      <c r="F34" s="13">
        <f t="shared" si="3"/>
        <v>0</v>
      </c>
      <c r="G34" s="14">
        <f t="shared" si="16"/>
        <v>0</v>
      </c>
      <c r="H34" s="186">
        <f t="shared" si="17"/>
        <v>0</v>
      </c>
      <c r="I34" s="11">
        <v>0</v>
      </c>
      <c r="J34" s="11"/>
      <c r="K34" s="11"/>
      <c r="L34" s="11"/>
      <c r="M34" s="11"/>
      <c r="N34" s="11"/>
      <c r="O34" s="11"/>
      <c r="P34" s="252"/>
    </row>
    <row r="35" ht="25" customHeight="1" spans="1:16">
      <c r="A35" s="227" t="s">
        <v>150</v>
      </c>
      <c r="B35" s="11">
        <v>400</v>
      </c>
      <c r="C35" s="12" t="s">
        <v>164</v>
      </c>
      <c r="D35" s="11">
        <v>340</v>
      </c>
      <c r="E35" s="11">
        <f t="shared" si="15"/>
        <v>60</v>
      </c>
      <c r="F35" s="13">
        <f t="shared" si="3"/>
        <v>85</v>
      </c>
      <c r="G35" s="14">
        <f t="shared" si="16"/>
        <v>340</v>
      </c>
      <c r="H35" s="186">
        <f t="shared" si="17"/>
        <v>340</v>
      </c>
      <c r="I35" s="11"/>
      <c r="J35" s="11"/>
      <c r="K35" s="11">
        <v>340</v>
      </c>
      <c r="L35" s="11"/>
      <c r="M35" s="11"/>
      <c r="N35" s="11"/>
      <c r="O35" s="11"/>
      <c r="P35" s="252"/>
    </row>
    <row r="36" ht="25" customHeight="1" spans="1:16">
      <c r="A36" s="227" t="s">
        <v>37</v>
      </c>
      <c r="B36" s="11">
        <v>780</v>
      </c>
      <c r="C36" s="15" t="s">
        <v>163</v>
      </c>
      <c r="D36" s="11">
        <v>30</v>
      </c>
      <c r="E36" s="11">
        <f t="shared" si="15"/>
        <v>750</v>
      </c>
      <c r="F36" s="13">
        <f t="shared" si="3"/>
        <v>3.84615384615385</v>
      </c>
      <c r="G36" s="14">
        <f t="shared" si="16"/>
        <v>30</v>
      </c>
      <c r="H36" s="186">
        <f t="shared" si="17"/>
        <v>30</v>
      </c>
      <c r="I36" s="11"/>
      <c r="J36" s="11"/>
      <c r="K36" s="11"/>
      <c r="L36" s="11">
        <v>0</v>
      </c>
      <c r="M36" s="11">
        <v>30</v>
      </c>
      <c r="N36" s="11"/>
      <c r="O36" s="11"/>
      <c r="P36" s="252"/>
    </row>
    <row r="37" ht="25" customHeight="1" spans="1:16">
      <c r="A37" s="227" t="s">
        <v>150</v>
      </c>
      <c r="B37" s="11">
        <v>50</v>
      </c>
      <c r="C37" s="15" t="s">
        <v>169</v>
      </c>
      <c r="D37" s="11">
        <v>0</v>
      </c>
      <c r="E37" s="11">
        <f t="shared" si="15"/>
        <v>50</v>
      </c>
      <c r="F37" s="13">
        <f t="shared" si="3"/>
        <v>0</v>
      </c>
      <c r="G37" s="14">
        <f t="shared" si="16"/>
        <v>0</v>
      </c>
      <c r="H37" s="186">
        <f t="shared" si="17"/>
        <v>0</v>
      </c>
      <c r="I37" s="11">
        <v>0</v>
      </c>
      <c r="J37" s="11"/>
      <c r="K37" s="11"/>
      <c r="L37" s="11"/>
      <c r="M37" s="11"/>
      <c r="N37" s="11"/>
      <c r="O37" s="11"/>
      <c r="P37" s="252"/>
    </row>
    <row r="38" ht="25" customHeight="1" spans="1:16">
      <c r="A38" s="227" t="s">
        <v>165</v>
      </c>
      <c r="B38" s="11">
        <v>650</v>
      </c>
      <c r="C38" s="15" t="s">
        <v>165</v>
      </c>
      <c r="D38" s="11"/>
      <c r="E38" s="11">
        <f t="shared" si="15"/>
        <v>650</v>
      </c>
      <c r="F38" s="13">
        <f t="shared" si="3"/>
        <v>0</v>
      </c>
      <c r="G38" s="14"/>
      <c r="H38" s="186"/>
      <c r="I38" s="11"/>
      <c r="J38" s="11"/>
      <c r="K38" s="11"/>
      <c r="L38" s="11"/>
      <c r="M38" s="11"/>
      <c r="N38" s="11"/>
      <c r="O38" s="11"/>
      <c r="P38" s="252"/>
    </row>
    <row r="39" ht="25" customHeight="1" spans="1:16">
      <c r="A39" s="231" t="s">
        <v>27</v>
      </c>
      <c r="B39" s="232">
        <f t="shared" ref="B39:G39" si="18">B32+B6</f>
        <v>24527.5</v>
      </c>
      <c r="C39" s="233"/>
      <c r="D39" s="232">
        <f t="shared" si="18"/>
        <v>15329.28</v>
      </c>
      <c r="E39" s="232">
        <f t="shared" si="18"/>
        <v>8548.22</v>
      </c>
      <c r="F39" s="234">
        <f t="shared" si="3"/>
        <v>62.4983385995311</v>
      </c>
      <c r="G39" s="234">
        <f t="shared" si="18"/>
        <v>15329.28263</v>
      </c>
      <c r="H39" s="235">
        <f t="shared" ref="H39:H49" si="19">SUM(I39:N39)</f>
        <v>12212.2</v>
      </c>
      <c r="I39" s="232">
        <f t="shared" ref="I39:L39" si="20">I32+I6</f>
        <v>4615.9</v>
      </c>
      <c r="J39" s="232">
        <f t="shared" si="20"/>
        <v>7404.6</v>
      </c>
      <c r="K39" s="232"/>
      <c r="L39" s="232">
        <f t="shared" si="20"/>
        <v>191.7</v>
      </c>
      <c r="M39" s="232"/>
      <c r="N39" s="232"/>
      <c r="O39" s="232">
        <f>O32+O6</f>
        <v>168</v>
      </c>
      <c r="P39" s="255"/>
    </row>
    <row r="40" ht="40" customHeight="1" spans="1:16">
      <c r="A40" s="236" t="s">
        <v>170</v>
      </c>
      <c r="B40" s="237">
        <f>SUM(B41:B49)</f>
        <v>19622.5</v>
      </c>
      <c r="C40" s="237">
        <f t="shared" ref="C40:P40" si="21">SUM(C41:C49)</f>
        <v>0</v>
      </c>
      <c r="D40" s="238">
        <f t="shared" si="21"/>
        <v>12474.28263</v>
      </c>
      <c r="E40" s="237">
        <f t="shared" si="21"/>
        <v>7148.21737</v>
      </c>
      <c r="F40" s="238">
        <f t="shared" si="3"/>
        <v>63.5713218499172</v>
      </c>
      <c r="G40" s="238">
        <f t="shared" ref="G40:G49" si="22">H40+O40+P40</f>
        <v>12474.28263</v>
      </c>
      <c r="H40" s="238">
        <f t="shared" si="21"/>
        <v>12290.04163</v>
      </c>
      <c r="I40" s="238">
        <f t="shared" si="21"/>
        <v>4615.9</v>
      </c>
      <c r="J40" s="238">
        <f t="shared" si="21"/>
        <v>4549.6</v>
      </c>
      <c r="K40" s="238">
        <f t="shared" si="21"/>
        <v>1678.5</v>
      </c>
      <c r="L40" s="238">
        <f t="shared" si="21"/>
        <v>191.7</v>
      </c>
      <c r="M40" s="238">
        <f t="shared" si="21"/>
        <v>550</v>
      </c>
      <c r="N40" s="238">
        <f t="shared" si="21"/>
        <v>704.34163</v>
      </c>
      <c r="O40" s="238">
        <f t="shared" si="21"/>
        <v>168</v>
      </c>
      <c r="P40" s="256">
        <f t="shared" si="21"/>
        <v>16.241</v>
      </c>
    </row>
    <row r="41" ht="40" customHeight="1" spans="1:16">
      <c r="A41" s="227" t="s">
        <v>148</v>
      </c>
      <c r="B41" s="11">
        <f t="shared" ref="B41:B44" si="23">B9</f>
        <v>168</v>
      </c>
      <c r="C41" s="24"/>
      <c r="D41" s="13">
        <v>168</v>
      </c>
      <c r="E41" s="13">
        <f t="shared" ref="E41:E49" si="24">B41-D41</f>
        <v>0</v>
      </c>
      <c r="F41" s="13">
        <f t="shared" si="3"/>
        <v>100</v>
      </c>
      <c r="G41" s="239">
        <f t="shared" si="22"/>
        <v>168</v>
      </c>
      <c r="H41" s="13">
        <f t="shared" si="19"/>
        <v>0</v>
      </c>
      <c r="I41" s="13"/>
      <c r="J41" s="13"/>
      <c r="K41" s="13"/>
      <c r="L41" s="13"/>
      <c r="M41" s="13"/>
      <c r="N41" s="13"/>
      <c r="O41" s="13">
        <v>168</v>
      </c>
      <c r="P41" s="253"/>
    </row>
    <row r="42" ht="40" customHeight="1" spans="1:16">
      <c r="A42" s="227" t="s">
        <v>150</v>
      </c>
      <c r="B42" s="11">
        <f>B10+B23+B25+B33+B35+B37</f>
        <v>8214.5</v>
      </c>
      <c r="C42" s="24"/>
      <c r="D42" s="13">
        <v>7971</v>
      </c>
      <c r="E42" s="13">
        <f t="shared" si="24"/>
        <v>243.5</v>
      </c>
      <c r="F42" s="13">
        <f t="shared" si="3"/>
        <v>97.0357295027086</v>
      </c>
      <c r="G42" s="239">
        <f t="shared" si="22"/>
        <v>7971</v>
      </c>
      <c r="H42" s="13">
        <f t="shared" si="19"/>
        <v>7971</v>
      </c>
      <c r="I42" s="13">
        <v>4615.9</v>
      </c>
      <c r="J42" s="13">
        <f>J23+J33</f>
        <v>1676.6</v>
      </c>
      <c r="K42" s="13">
        <f>K35+K25</f>
        <v>1678.5</v>
      </c>
      <c r="L42" s="13"/>
      <c r="M42" s="13"/>
      <c r="N42" s="13"/>
      <c r="O42" s="13"/>
      <c r="P42" s="253"/>
    </row>
    <row r="43" ht="40" customHeight="1" spans="1:16">
      <c r="A43" s="227" t="s">
        <v>152</v>
      </c>
      <c r="B43" s="11">
        <f t="shared" si="23"/>
        <v>2058</v>
      </c>
      <c r="C43" s="24"/>
      <c r="D43" s="13">
        <v>0</v>
      </c>
      <c r="E43" s="13">
        <f t="shared" si="24"/>
        <v>2058</v>
      </c>
      <c r="F43" s="13">
        <f t="shared" si="3"/>
        <v>0</v>
      </c>
      <c r="G43" s="239">
        <f t="shared" si="22"/>
        <v>0</v>
      </c>
      <c r="H43" s="13">
        <f t="shared" si="19"/>
        <v>0</v>
      </c>
      <c r="I43" s="13"/>
      <c r="J43" s="13"/>
      <c r="K43" s="13"/>
      <c r="L43" s="13"/>
      <c r="M43" s="13"/>
      <c r="N43" s="13"/>
      <c r="O43" s="13"/>
      <c r="P43" s="253"/>
    </row>
    <row r="44" ht="40" customHeight="1" spans="1:16">
      <c r="A44" s="227" t="s">
        <v>154</v>
      </c>
      <c r="B44" s="11">
        <f t="shared" si="23"/>
        <v>567</v>
      </c>
      <c r="C44" s="24"/>
      <c r="D44" s="13">
        <v>567</v>
      </c>
      <c r="E44" s="13">
        <f t="shared" si="24"/>
        <v>0</v>
      </c>
      <c r="F44" s="13">
        <f t="shared" si="3"/>
        <v>100</v>
      </c>
      <c r="G44" s="239">
        <f t="shared" si="22"/>
        <v>567</v>
      </c>
      <c r="H44" s="13">
        <f t="shared" si="19"/>
        <v>567</v>
      </c>
      <c r="I44" s="13"/>
      <c r="J44" s="13"/>
      <c r="K44" s="13"/>
      <c r="L44" s="13"/>
      <c r="M44" s="13"/>
      <c r="N44" s="13">
        <v>567</v>
      </c>
      <c r="O44" s="13"/>
      <c r="P44" s="253"/>
    </row>
    <row r="45" ht="40" customHeight="1" spans="1:16">
      <c r="A45" s="227" t="s">
        <v>36</v>
      </c>
      <c r="B45" s="11">
        <f>B13+B26+B27</f>
        <v>3576</v>
      </c>
      <c r="C45" s="24"/>
      <c r="D45" s="13">
        <v>249.59388</v>
      </c>
      <c r="E45" s="13">
        <f t="shared" si="24"/>
        <v>3326.40612</v>
      </c>
      <c r="F45" s="13">
        <f t="shared" si="3"/>
        <v>6.97969463087248</v>
      </c>
      <c r="G45" s="239">
        <f t="shared" si="22"/>
        <v>249.59388</v>
      </c>
      <c r="H45" s="13">
        <f t="shared" si="19"/>
        <v>233.35288</v>
      </c>
      <c r="I45" s="13"/>
      <c r="J45" s="13"/>
      <c r="K45" s="13"/>
      <c r="L45" s="13">
        <v>191.7</v>
      </c>
      <c r="M45" s="13"/>
      <c r="N45" s="13">
        <f t="shared" ref="N45:P45" si="25">N13</f>
        <v>41.65288</v>
      </c>
      <c r="O45" s="13">
        <f t="shared" si="25"/>
        <v>0</v>
      </c>
      <c r="P45" s="253">
        <f t="shared" si="25"/>
        <v>16.241</v>
      </c>
    </row>
    <row r="46" ht="40" customHeight="1" spans="1:16">
      <c r="A46" s="227" t="s">
        <v>33</v>
      </c>
      <c r="B46" s="11">
        <f>B14+B22</f>
        <v>3260</v>
      </c>
      <c r="C46" s="24"/>
      <c r="D46" s="13">
        <v>2968.68875</v>
      </c>
      <c r="E46" s="13">
        <f t="shared" si="24"/>
        <v>291.31125</v>
      </c>
      <c r="F46" s="13">
        <f t="shared" si="3"/>
        <v>91.0640720858896</v>
      </c>
      <c r="G46" s="239">
        <f t="shared" si="22"/>
        <v>2968.68875</v>
      </c>
      <c r="H46" s="13">
        <f t="shared" si="19"/>
        <v>2968.68875</v>
      </c>
      <c r="I46" s="13"/>
      <c r="J46" s="13">
        <f>J14+J22</f>
        <v>2873</v>
      </c>
      <c r="K46" s="13"/>
      <c r="L46" s="13"/>
      <c r="M46" s="13"/>
      <c r="N46" s="13">
        <f>N14</f>
        <v>95.68875</v>
      </c>
      <c r="O46" s="13"/>
      <c r="P46" s="253"/>
    </row>
    <row r="47" ht="40" customHeight="1" spans="1:16">
      <c r="A47" s="227" t="s">
        <v>56</v>
      </c>
      <c r="B47" s="11">
        <f>B15</f>
        <v>329</v>
      </c>
      <c r="C47" s="24"/>
      <c r="D47" s="13">
        <v>0</v>
      </c>
      <c r="E47" s="13">
        <f t="shared" si="24"/>
        <v>329</v>
      </c>
      <c r="F47" s="13">
        <f t="shared" si="3"/>
        <v>0</v>
      </c>
      <c r="G47" s="239">
        <f t="shared" si="22"/>
        <v>0</v>
      </c>
      <c r="H47" s="13">
        <f t="shared" si="19"/>
        <v>0</v>
      </c>
      <c r="I47" s="13"/>
      <c r="J47" s="13"/>
      <c r="K47" s="13"/>
      <c r="L47" s="13"/>
      <c r="M47" s="13"/>
      <c r="N47" s="13"/>
      <c r="O47" s="13"/>
      <c r="P47" s="253"/>
    </row>
    <row r="48" ht="40" customHeight="1" spans="1:16">
      <c r="A48" s="227" t="s">
        <v>39</v>
      </c>
      <c r="B48" s="11">
        <f>B16</f>
        <v>50</v>
      </c>
      <c r="C48" s="24"/>
      <c r="D48" s="13">
        <v>0</v>
      </c>
      <c r="E48" s="13">
        <f t="shared" si="24"/>
        <v>50</v>
      </c>
      <c r="F48" s="13">
        <f t="shared" si="3"/>
        <v>0</v>
      </c>
      <c r="G48" s="239">
        <f t="shared" si="22"/>
        <v>0</v>
      </c>
      <c r="H48" s="13">
        <f t="shared" si="19"/>
        <v>0</v>
      </c>
      <c r="I48" s="13"/>
      <c r="J48" s="13"/>
      <c r="K48" s="13"/>
      <c r="L48" s="13"/>
      <c r="M48" s="13"/>
      <c r="N48" s="13"/>
      <c r="O48" s="13"/>
      <c r="P48" s="253"/>
    </row>
    <row r="49" ht="40" customHeight="1" spans="1:16">
      <c r="A49" s="231" t="s">
        <v>37</v>
      </c>
      <c r="B49" s="232">
        <f>B24+B34+B36</f>
        <v>1400</v>
      </c>
      <c r="C49" s="240"/>
      <c r="D49" s="234">
        <v>550</v>
      </c>
      <c r="E49" s="234">
        <f t="shared" si="24"/>
        <v>850</v>
      </c>
      <c r="F49" s="234">
        <f t="shared" si="3"/>
        <v>39.2857142857143</v>
      </c>
      <c r="G49" s="241">
        <f t="shared" si="22"/>
        <v>550</v>
      </c>
      <c r="H49" s="234">
        <f t="shared" si="19"/>
        <v>550</v>
      </c>
      <c r="I49" s="234"/>
      <c r="J49" s="234"/>
      <c r="K49" s="234"/>
      <c r="L49" s="234"/>
      <c r="M49" s="234">
        <v>550</v>
      </c>
      <c r="N49" s="234"/>
      <c r="O49" s="234"/>
      <c r="P49" s="257"/>
    </row>
  </sheetData>
  <mergeCells count="14">
    <mergeCell ref="A1:P1"/>
    <mergeCell ref="C2:K2"/>
    <mergeCell ref="O2:P2"/>
    <mergeCell ref="G3:P3"/>
    <mergeCell ref="H4:N4"/>
    <mergeCell ref="A3:A5"/>
    <mergeCell ref="B3:B5"/>
    <mergeCell ref="C3:C5"/>
    <mergeCell ref="D3:D5"/>
    <mergeCell ref="E3:E5"/>
    <mergeCell ref="F3:F5"/>
    <mergeCell ref="G4:G5"/>
    <mergeCell ref="O4:O5"/>
    <mergeCell ref="P4:P5"/>
  </mergeCells>
  <pageMargins left="0.609027777777778" right="0.354166666666667" top="0.393055555555556" bottom="0.196527777777778" header="0.511805555555556" footer="0.511805555555556"/>
  <pageSetup paperSize="9" scale="54" fitToHeight="0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9"/>
  <sheetViews>
    <sheetView showZeros="0" zoomScale="72" zoomScaleNormal="72" workbookViewId="0">
      <pane xSplit="1" ySplit="5" topLeftCell="B6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34.8916666666667" customWidth="1"/>
    <col min="2" max="2" width="11.6666666666667" customWidth="1"/>
    <col min="3" max="3" width="35.5916666666667" customWidth="1"/>
    <col min="4" max="4" width="11.9166666666667" customWidth="1"/>
    <col min="5" max="5" width="12.0833333333333" customWidth="1"/>
    <col min="6" max="6" width="10.75" customWidth="1"/>
    <col min="7" max="7" width="12.15" customWidth="1"/>
    <col min="8" max="8" width="13.1916666666667" customWidth="1"/>
    <col min="9" max="9" width="12.25" customWidth="1"/>
    <col min="10" max="10" width="12.9166666666667" customWidth="1"/>
    <col min="11" max="11" width="13.1666666666667" customWidth="1"/>
    <col min="12" max="12" width="10.5916666666667" customWidth="1"/>
    <col min="13" max="13" width="11.25" customWidth="1"/>
    <col min="14" max="14" width="12.5" customWidth="1"/>
    <col min="15" max="15" width="9.75" customWidth="1"/>
    <col min="16" max="16" width="10.75" customWidth="1"/>
  </cols>
  <sheetData>
    <row r="1" ht="22" customHeight="1" spans="1:16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9" customHeight="1" spans="1:16">
      <c r="A2" s="2" t="s">
        <v>118</v>
      </c>
      <c r="B2" s="3"/>
      <c r="C2" s="212">
        <v>43613</v>
      </c>
      <c r="D2" s="212"/>
      <c r="E2" s="212"/>
      <c r="F2" s="212"/>
      <c r="G2" s="212"/>
      <c r="H2" s="212"/>
      <c r="I2" s="212"/>
      <c r="J2" s="212"/>
      <c r="K2" s="212"/>
      <c r="L2" s="16"/>
      <c r="M2" s="16"/>
      <c r="N2" s="16"/>
      <c r="O2" s="242" t="s">
        <v>3</v>
      </c>
      <c r="P2" s="242"/>
    </row>
    <row r="3" ht="23" customHeight="1" spans="1:16">
      <c r="A3" s="213" t="s">
        <v>134</v>
      </c>
      <c r="B3" s="214" t="s">
        <v>135</v>
      </c>
      <c r="C3" s="214" t="s">
        <v>62</v>
      </c>
      <c r="D3" s="215" t="s">
        <v>136</v>
      </c>
      <c r="E3" s="216" t="s">
        <v>137</v>
      </c>
      <c r="F3" s="215" t="s">
        <v>7</v>
      </c>
      <c r="G3" s="214" t="s">
        <v>65</v>
      </c>
      <c r="H3" s="214"/>
      <c r="I3" s="214"/>
      <c r="J3" s="214"/>
      <c r="K3" s="214"/>
      <c r="L3" s="214"/>
      <c r="M3" s="214"/>
      <c r="N3" s="214"/>
      <c r="O3" s="214"/>
      <c r="P3" s="243"/>
    </row>
    <row r="4" ht="23" customHeight="1" spans="1:16">
      <c r="A4" s="217"/>
      <c r="B4" s="218"/>
      <c r="C4" s="218"/>
      <c r="D4" s="219"/>
      <c r="E4" s="220"/>
      <c r="F4" s="219"/>
      <c r="G4" s="221" t="s">
        <v>138</v>
      </c>
      <c r="H4" s="222" t="s">
        <v>139</v>
      </c>
      <c r="I4" s="244"/>
      <c r="J4" s="244"/>
      <c r="K4" s="244"/>
      <c r="L4" s="244"/>
      <c r="M4" s="244"/>
      <c r="N4" s="245"/>
      <c r="O4" s="246" t="s">
        <v>140</v>
      </c>
      <c r="P4" s="247" t="s">
        <v>141</v>
      </c>
    </row>
    <row r="5" ht="23" customHeight="1" spans="1:16">
      <c r="A5" s="223"/>
      <c r="B5" s="174"/>
      <c r="C5" s="174"/>
      <c r="D5" s="175"/>
      <c r="E5" s="219"/>
      <c r="F5" s="175"/>
      <c r="G5" s="218"/>
      <c r="H5" s="174" t="s">
        <v>66</v>
      </c>
      <c r="I5" s="174" t="s">
        <v>142</v>
      </c>
      <c r="J5" s="174" t="s">
        <v>143</v>
      </c>
      <c r="K5" s="174" t="s">
        <v>144</v>
      </c>
      <c r="L5" s="175" t="s">
        <v>69</v>
      </c>
      <c r="M5" s="175" t="s">
        <v>145</v>
      </c>
      <c r="N5" s="174" t="s">
        <v>131</v>
      </c>
      <c r="O5" s="248"/>
      <c r="P5" s="249"/>
    </row>
    <row r="6" ht="23" customHeight="1" spans="1:16">
      <c r="A6" s="224" t="s">
        <v>93</v>
      </c>
      <c r="B6" s="186">
        <f t="shared" ref="B6:G6" si="0">B7+B17+B21+B27</f>
        <v>21527.5</v>
      </c>
      <c r="C6" s="186">
        <f>SUM(C7,C21,C27)</f>
        <v>0</v>
      </c>
      <c r="D6" s="186">
        <f t="shared" si="0"/>
        <v>15732.97</v>
      </c>
      <c r="E6" s="186">
        <f t="shared" si="0"/>
        <v>5794.53</v>
      </c>
      <c r="F6" s="13">
        <f t="shared" ref="F6:F49" si="1">D6/B6*100</f>
        <v>73.0831262338869</v>
      </c>
      <c r="G6" s="14">
        <f t="shared" si="0"/>
        <v>14145.87263</v>
      </c>
      <c r="H6" s="186">
        <f>SUM(I6:N6)</f>
        <v>13169.1</v>
      </c>
      <c r="I6" s="186">
        <f t="shared" ref="I6:P6" si="2">SUM(I7,I21,I27)</f>
        <v>4615.9</v>
      </c>
      <c r="J6" s="186">
        <f>J7+J17+J21+J27</f>
        <v>6503</v>
      </c>
      <c r="K6" s="186">
        <f t="shared" si="2"/>
        <v>1338.5</v>
      </c>
      <c r="L6" s="186">
        <f t="shared" si="2"/>
        <v>191.7</v>
      </c>
      <c r="M6" s="186">
        <f t="shared" si="2"/>
        <v>520</v>
      </c>
      <c r="N6" s="14">
        <f t="shared" si="2"/>
        <v>0</v>
      </c>
      <c r="O6" s="186">
        <f>O7+O17+O22+O28</f>
        <v>1843.29</v>
      </c>
      <c r="P6" s="250">
        <f t="shared" si="2"/>
        <v>16.241</v>
      </c>
    </row>
    <row r="7" ht="23" customHeight="1" spans="1:16">
      <c r="A7" s="225" t="s">
        <v>146</v>
      </c>
      <c r="B7" s="186">
        <f t="shared" ref="B7:P7" si="3">SUM(B8,B15,B16)</f>
        <v>11415</v>
      </c>
      <c r="C7" s="186">
        <f t="shared" si="3"/>
        <v>0</v>
      </c>
      <c r="D7" s="186">
        <f t="shared" si="3"/>
        <v>8365.18</v>
      </c>
      <c r="E7" s="186">
        <f t="shared" si="3"/>
        <v>3049.82</v>
      </c>
      <c r="F7" s="14">
        <f t="shared" si="3"/>
        <v>75.7990213845596</v>
      </c>
      <c r="G7" s="14">
        <f t="shared" si="3"/>
        <v>8365.18263</v>
      </c>
      <c r="H7" s="186">
        <f t="shared" si="3"/>
        <v>7476.6</v>
      </c>
      <c r="I7" s="186">
        <f t="shared" si="3"/>
        <v>4615.9</v>
      </c>
      <c r="J7" s="186">
        <f t="shared" si="3"/>
        <v>2669</v>
      </c>
      <c r="K7" s="186">
        <f t="shared" si="3"/>
        <v>0</v>
      </c>
      <c r="L7" s="186">
        <f t="shared" si="3"/>
        <v>191.7</v>
      </c>
      <c r="M7" s="186">
        <f t="shared" si="3"/>
        <v>0</v>
      </c>
      <c r="N7" s="14">
        <f t="shared" si="3"/>
        <v>0</v>
      </c>
      <c r="O7" s="186">
        <f>O8+O16+O15</f>
        <v>168</v>
      </c>
      <c r="P7" s="250">
        <f t="shared" si="3"/>
        <v>16.241</v>
      </c>
    </row>
    <row r="8" ht="23" customHeight="1" spans="1:16">
      <c r="A8" s="226" t="s">
        <v>147</v>
      </c>
      <c r="B8" s="186">
        <f t="shared" ref="B8:G8" si="4">SUM(B9:B14)</f>
        <v>11036</v>
      </c>
      <c r="C8" s="187"/>
      <c r="D8" s="186">
        <f t="shared" si="4"/>
        <v>8365.18</v>
      </c>
      <c r="E8" s="186">
        <f t="shared" si="4"/>
        <v>2670.82</v>
      </c>
      <c r="F8" s="13">
        <f t="shared" si="1"/>
        <v>75.7990213845596</v>
      </c>
      <c r="G8" s="14">
        <f t="shared" si="4"/>
        <v>8365.18263</v>
      </c>
      <c r="H8" s="186">
        <f>SUM(I8:N8)</f>
        <v>7476.6</v>
      </c>
      <c r="I8" s="186">
        <f t="shared" ref="I8:M8" si="5">I9+I10+I11+I12+I13+I14</f>
        <v>4615.9</v>
      </c>
      <c r="J8" s="186">
        <f t="shared" si="5"/>
        <v>2669</v>
      </c>
      <c r="K8" s="186">
        <f t="shared" si="5"/>
        <v>0</v>
      </c>
      <c r="L8" s="186">
        <f t="shared" si="5"/>
        <v>191.7</v>
      </c>
      <c r="M8" s="186">
        <f t="shared" si="5"/>
        <v>0</v>
      </c>
      <c r="N8" s="14"/>
      <c r="O8" s="186">
        <f>O9+O10+O12+O13+O14</f>
        <v>168</v>
      </c>
      <c r="P8" s="250">
        <f>SUM(P9:P14)</f>
        <v>16.241</v>
      </c>
    </row>
    <row r="9" ht="25" customHeight="1" spans="1:16">
      <c r="A9" s="227" t="s">
        <v>148</v>
      </c>
      <c r="B9" s="11">
        <v>168</v>
      </c>
      <c r="C9" s="15" t="s">
        <v>149</v>
      </c>
      <c r="D9" s="11">
        <v>168</v>
      </c>
      <c r="E9" s="11">
        <f t="shared" ref="E9:E20" si="6">B9-D9</f>
        <v>0</v>
      </c>
      <c r="F9" s="13">
        <f t="shared" si="1"/>
        <v>100</v>
      </c>
      <c r="G9" s="13">
        <f t="shared" ref="G9:G20" si="7">SUM(I9:P9)</f>
        <v>168</v>
      </c>
      <c r="H9" s="186">
        <f t="shared" ref="H9:H14" si="8">I9+J9+K9+L9+M9+N9</f>
        <v>0</v>
      </c>
      <c r="I9" s="11"/>
      <c r="J9" s="11"/>
      <c r="K9" s="11"/>
      <c r="L9" s="251"/>
      <c r="M9" s="251"/>
      <c r="N9" s="196"/>
      <c r="O9" s="11">
        <v>168</v>
      </c>
      <c r="P9" s="252"/>
    </row>
    <row r="10" ht="45.5" customHeight="1" spans="1:16">
      <c r="A10" s="227" t="s">
        <v>150</v>
      </c>
      <c r="B10" s="11">
        <v>4631</v>
      </c>
      <c r="C10" s="39" t="s">
        <v>151</v>
      </c>
      <c r="D10" s="11">
        <v>4615.9</v>
      </c>
      <c r="E10" s="11">
        <f t="shared" si="6"/>
        <v>15.1000000000004</v>
      </c>
      <c r="F10" s="13">
        <f t="shared" si="1"/>
        <v>99.6739365147916</v>
      </c>
      <c r="G10" s="13">
        <f t="shared" si="7"/>
        <v>4615.9</v>
      </c>
      <c r="H10" s="14">
        <f t="shared" si="8"/>
        <v>4615.9</v>
      </c>
      <c r="I10" s="11">
        <v>4615.9</v>
      </c>
      <c r="J10" s="11"/>
      <c r="K10" s="11"/>
      <c r="L10" s="11"/>
      <c r="M10" s="11"/>
      <c r="N10" s="13"/>
      <c r="O10" s="11"/>
      <c r="P10" s="252"/>
    </row>
    <row r="11" ht="25" customHeight="1" spans="1:16">
      <c r="A11" s="227" t="s">
        <v>152</v>
      </c>
      <c r="B11" s="11">
        <v>2058</v>
      </c>
      <c r="C11" s="15" t="s">
        <v>153</v>
      </c>
      <c r="D11" s="11"/>
      <c r="E11" s="11">
        <f t="shared" si="6"/>
        <v>2058</v>
      </c>
      <c r="F11" s="13">
        <f t="shared" si="1"/>
        <v>0</v>
      </c>
      <c r="G11" s="13">
        <f t="shared" si="7"/>
        <v>0</v>
      </c>
      <c r="H11" s="14">
        <f t="shared" si="8"/>
        <v>0</v>
      </c>
      <c r="I11" s="11"/>
      <c r="J11" s="11"/>
      <c r="K11" s="11"/>
      <c r="L11" s="11"/>
      <c r="M11" s="11"/>
      <c r="N11" s="13"/>
      <c r="O11" s="11"/>
      <c r="P11" s="252"/>
    </row>
    <row r="12" ht="25" customHeight="1" spans="1:16">
      <c r="A12" s="227" t="s">
        <v>154</v>
      </c>
      <c r="B12" s="11">
        <v>567</v>
      </c>
      <c r="C12" s="15" t="s">
        <v>155</v>
      </c>
      <c r="D12" s="11">
        <v>567</v>
      </c>
      <c r="E12" s="11">
        <f t="shared" si="6"/>
        <v>0</v>
      </c>
      <c r="F12" s="13">
        <f t="shared" si="1"/>
        <v>100</v>
      </c>
      <c r="G12" s="13">
        <f t="shared" si="7"/>
        <v>567</v>
      </c>
      <c r="H12" s="14">
        <f t="shared" si="8"/>
        <v>567</v>
      </c>
      <c r="I12" s="251"/>
      <c r="J12" s="11"/>
      <c r="K12" s="11"/>
      <c r="L12" s="11"/>
      <c r="M12" s="11"/>
      <c r="N12" s="13">
        <v>567</v>
      </c>
      <c r="O12" s="11"/>
      <c r="P12" s="252"/>
    </row>
    <row r="13" ht="41.5" customHeight="1" spans="1:16">
      <c r="A13" s="227" t="s">
        <v>36</v>
      </c>
      <c r="B13" s="11">
        <f>176+380</f>
        <v>556</v>
      </c>
      <c r="C13" s="39" t="s">
        <v>156</v>
      </c>
      <c r="D13" s="11">
        <v>249.59</v>
      </c>
      <c r="E13" s="11">
        <f t="shared" si="6"/>
        <v>306.41</v>
      </c>
      <c r="F13" s="13">
        <f t="shared" si="1"/>
        <v>44.8902877697842</v>
      </c>
      <c r="G13" s="13">
        <f t="shared" si="7"/>
        <v>249.59388</v>
      </c>
      <c r="H13" s="14">
        <f t="shared" si="8"/>
        <v>233.35288</v>
      </c>
      <c r="I13" s="11"/>
      <c r="J13" s="11"/>
      <c r="K13" s="11"/>
      <c r="L13" s="11">
        <v>191.7</v>
      </c>
      <c r="M13" s="11"/>
      <c r="N13" s="13">
        <v>41.65288</v>
      </c>
      <c r="O13" s="11"/>
      <c r="P13" s="252">
        <v>16.241</v>
      </c>
    </row>
    <row r="14" ht="45" customHeight="1" spans="1:16">
      <c r="A14" s="227" t="s">
        <v>33</v>
      </c>
      <c r="B14" s="11">
        <f>387+2669</f>
        <v>3056</v>
      </c>
      <c r="C14" s="15" t="s">
        <v>157</v>
      </c>
      <c r="D14" s="11">
        <f>2669+95.69</f>
        <v>2764.69</v>
      </c>
      <c r="E14" s="11">
        <f t="shared" si="6"/>
        <v>291.31</v>
      </c>
      <c r="F14" s="13">
        <f t="shared" si="1"/>
        <v>90.4676047120419</v>
      </c>
      <c r="G14" s="13">
        <f t="shared" si="7"/>
        <v>2764.68875</v>
      </c>
      <c r="H14" s="14">
        <f t="shared" si="8"/>
        <v>2764.68875</v>
      </c>
      <c r="I14" s="11"/>
      <c r="J14" s="11">
        <v>2669</v>
      </c>
      <c r="K14" s="11"/>
      <c r="L14" s="11"/>
      <c r="M14" s="11"/>
      <c r="N14" s="13">
        <v>95.68875</v>
      </c>
      <c r="O14" s="11"/>
      <c r="P14" s="252"/>
    </row>
    <row r="15" ht="25" customHeight="1" spans="1:16">
      <c r="A15" s="228" t="s">
        <v>158</v>
      </c>
      <c r="B15" s="11">
        <v>329</v>
      </c>
      <c r="C15" s="15" t="s">
        <v>159</v>
      </c>
      <c r="D15" s="11">
        <v>0</v>
      </c>
      <c r="E15" s="11">
        <f t="shared" si="6"/>
        <v>329</v>
      </c>
      <c r="F15" s="13">
        <f t="shared" si="1"/>
        <v>0</v>
      </c>
      <c r="G15" s="13">
        <f t="shared" si="7"/>
        <v>0</v>
      </c>
      <c r="H15" s="14">
        <f t="shared" ref="H15:H20" si="9">SUM(I15:N15)</f>
        <v>0</v>
      </c>
      <c r="I15" s="11">
        <v>0</v>
      </c>
      <c r="J15" s="11"/>
      <c r="K15" s="11"/>
      <c r="L15" s="11"/>
      <c r="M15" s="11"/>
      <c r="N15" s="13"/>
      <c r="O15" s="11"/>
      <c r="P15" s="252"/>
    </row>
    <row r="16" ht="25" customHeight="1" spans="1:22">
      <c r="A16" s="228" t="s">
        <v>160</v>
      </c>
      <c r="B16" s="11">
        <v>50</v>
      </c>
      <c r="C16" s="15" t="s">
        <v>161</v>
      </c>
      <c r="D16" s="11">
        <v>0</v>
      </c>
      <c r="E16" s="11">
        <f t="shared" si="6"/>
        <v>50</v>
      </c>
      <c r="F16" s="13">
        <f t="shared" si="1"/>
        <v>0</v>
      </c>
      <c r="G16" s="13">
        <f t="shared" si="7"/>
        <v>0</v>
      </c>
      <c r="H16" s="14">
        <f t="shared" si="9"/>
        <v>0</v>
      </c>
      <c r="I16" s="11"/>
      <c r="J16" s="11"/>
      <c r="K16" s="11"/>
      <c r="L16" s="11"/>
      <c r="M16" s="11"/>
      <c r="N16" s="13"/>
      <c r="O16" s="11"/>
      <c r="P16" s="252">
        <v>0</v>
      </c>
      <c r="V16" t="s">
        <v>179</v>
      </c>
    </row>
    <row r="17" ht="25" customHeight="1" spans="1:16">
      <c r="A17" s="225" t="s">
        <v>171</v>
      </c>
      <c r="B17" s="11">
        <f>B18+B19+B20</f>
        <v>4255</v>
      </c>
      <c r="C17" s="15"/>
      <c r="D17" s="13">
        <f t="shared" ref="D17:P17" si="10">D18+D19+D20</f>
        <v>2943.19</v>
      </c>
      <c r="E17" s="11">
        <f t="shared" si="6"/>
        <v>1311.81</v>
      </c>
      <c r="F17" s="13">
        <f t="shared" si="1"/>
        <v>69.1701527614571</v>
      </c>
      <c r="G17" s="13">
        <f t="shared" si="7"/>
        <v>2943.19</v>
      </c>
      <c r="H17" s="13">
        <f t="shared" si="10"/>
        <v>2855</v>
      </c>
      <c r="I17" s="13">
        <f t="shared" si="10"/>
        <v>0</v>
      </c>
      <c r="J17" s="13">
        <f t="shared" si="10"/>
        <v>2855</v>
      </c>
      <c r="K17" s="13">
        <f t="shared" si="10"/>
        <v>0</v>
      </c>
      <c r="L17" s="13">
        <f t="shared" si="10"/>
        <v>0</v>
      </c>
      <c r="M17" s="13">
        <f t="shared" si="10"/>
        <v>0</v>
      </c>
      <c r="N17" s="13">
        <f t="shared" si="10"/>
        <v>0</v>
      </c>
      <c r="O17" s="13">
        <f t="shared" si="10"/>
        <v>88.19</v>
      </c>
      <c r="P17" s="253">
        <f t="shared" si="10"/>
        <v>0</v>
      </c>
    </row>
    <row r="18" ht="29" customHeight="1" spans="1:16">
      <c r="A18" s="227" t="s">
        <v>148</v>
      </c>
      <c r="B18" s="11">
        <v>1329</v>
      </c>
      <c r="C18" s="15" t="s">
        <v>174</v>
      </c>
      <c r="D18" s="13">
        <v>88.19</v>
      </c>
      <c r="E18" s="11">
        <f t="shared" si="6"/>
        <v>1240.81</v>
      </c>
      <c r="F18" s="13">
        <f t="shared" si="1"/>
        <v>6.63581640331076</v>
      </c>
      <c r="G18" s="13">
        <f t="shared" si="7"/>
        <v>88.19</v>
      </c>
      <c r="H18" s="14">
        <f t="shared" si="9"/>
        <v>0</v>
      </c>
      <c r="I18" s="11"/>
      <c r="J18" s="11"/>
      <c r="K18" s="11"/>
      <c r="L18" s="11"/>
      <c r="M18" s="11"/>
      <c r="N18" s="13"/>
      <c r="O18" s="11">
        <v>88.19</v>
      </c>
      <c r="P18" s="252"/>
    </row>
    <row r="19" ht="25" customHeight="1" spans="1:16">
      <c r="A19" s="227" t="s">
        <v>150</v>
      </c>
      <c r="B19" s="11">
        <v>2855</v>
      </c>
      <c r="C19" s="15" t="s">
        <v>175</v>
      </c>
      <c r="D19" s="13">
        <v>2855</v>
      </c>
      <c r="E19" s="11">
        <f t="shared" si="6"/>
        <v>0</v>
      </c>
      <c r="F19" s="13">
        <f t="shared" si="1"/>
        <v>100</v>
      </c>
      <c r="G19" s="13">
        <f t="shared" si="7"/>
        <v>2855</v>
      </c>
      <c r="H19" s="14">
        <f t="shared" si="9"/>
        <v>2855</v>
      </c>
      <c r="I19" s="11"/>
      <c r="J19" s="13">
        <v>2855</v>
      </c>
      <c r="K19" s="11"/>
      <c r="L19" s="11"/>
      <c r="M19" s="11"/>
      <c r="N19" s="13"/>
      <c r="O19" s="11"/>
      <c r="P19" s="252"/>
    </row>
    <row r="20" ht="25" customHeight="1" spans="1:16">
      <c r="A20" s="227" t="s">
        <v>152</v>
      </c>
      <c r="B20" s="11">
        <v>71</v>
      </c>
      <c r="C20" s="15" t="s">
        <v>155</v>
      </c>
      <c r="D20" s="11"/>
      <c r="E20" s="11">
        <f t="shared" si="6"/>
        <v>71</v>
      </c>
      <c r="F20" s="13">
        <f t="shared" si="1"/>
        <v>0</v>
      </c>
      <c r="G20" s="13">
        <f t="shared" si="7"/>
        <v>0</v>
      </c>
      <c r="H20" s="14">
        <f t="shared" si="9"/>
        <v>0</v>
      </c>
      <c r="I20" s="11"/>
      <c r="J20" s="11"/>
      <c r="K20" s="11"/>
      <c r="L20" s="11"/>
      <c r="M20" s="11"/>
      <c r="N20" s="13"/>
      <c r="O20" s="11"/>
      <c r="P20" s="252"/>
    </row>
    <row r="21" ht="25" customHeight="1" spans="1:16">
      <c r="A21" s="229" t="s">
        <v>172</v>
      </c>
      <c r="B21" s="11">
        <f t="shared" ref="B21:P21" si="11">SUM(B22:B26)</f>
        <v>2857.5</v>
      </c>
      <c r="C21" s="189"/>
      <c r="D21" s="11">
        <f t="shared" si="11"/>
        <v>2837.5</v>
      </c>
      <c r="E21" s="11">
        <f t="shared" si="11"/>
        <v>20</v>
      </c>
      <c r="F21" s="13">
        <f t="shared" si="1"/>
        <v>99.3000874890639</v>
      </c>
      <c r="G21" s="13">
        <f t="shared" si="11"/>
        <v>2837.5</v>
      </c>
      <c r="H21" s="13">
        <f t="shared" si="11"/>
        <v>2837.5</v>
      </c>
      <c r="I21" s="11">
        <f t="shared" si="11"/>
        <v>0</v>
      </c>
      <c r="J21" s="11">
        <f t="shared" si="11"/>
        <v>979</v>
      </c>
      <c r="K21" s="11">
        <f t="shared" si="11"/>
        <v>1338.5</v>
      </c>
      <c r="L21" s="11">
        <f t="shared" si="11"/>
        <v>0</v>
      </c>
      <c r="M21" s="11">
        <f t="shared" si="11"/>
        <v>520</v>
      </c>
      <c r="N21" s="13">
        <f t="shared" si="11"/>
        <v>0</v>
      </c>
      <c r="O21" s="11">
        <f t="shared" si="11"/>
        <v>0</v>
      </c>
      <c r="P21" s="252">
        <f t="shared" si="11"/>
        <v>0</v>
      </c>
    </row>
    <row r="22" ht="25" customHeight="1" spans="1:16">
      <c r="A22" s="227" t="s">
        <v>33</v>
      </c>
      <c r="B22" s="11">
        <v>204</v>
      </c>
      <c r="C22" s="15" t="s">
        <v>143</v>
      </c>
      <c r="D22" s="11">
        <v>204</v>
      </c>
      <c r="E22" s="11">
        <f t="shared" ref="E22:E31" si="12">B22-D22</f>
        <v>0</v>
      </c>
      <c r="F22" s="13">
        <f t="shared" si="1"/>
        <v>100</v>
      </c>
      <c r="G22" s="14">
        <f t="shared" ref="G22:G31" si="13">H22+O22+P22</f>
        <v>204</v>
      </c>
      <c r="H22" s="14">
        <f t="shared" ref="H22:H27" si="14">SUM(I22:N22)</f>
        <v>204</v>
      </c>
      <c r="I22" s="11"/>
      <c r="J22" s="11">
        <v>204</v>
      </c>
      <c r="K22" s="11"/>
      <c r="L22" s="11"/>
      <c r="M22" s="11"/>
      <c r="N22" s="13"/>
      <c r="O22" s="11"/>
      <c r="P22" s="252"/>
    </row>
    <row r="23" ht="25" customHeight="1" spans="1:16">
      <c r="A23" s="227" t="s">
        <v>150</v>
      </c>
      <c r="B23" s="11">
        <v>775</v>
      </c>
      <c r="C23" s="15" t="s">
        <v>143</v>
      </c>
      <c r="D23" s="11">
        <v>775</v>
      </c>
      <c r="E23" s="11">
        <f t="shared" si="12"/>
        <v>0</v>
      </c>
      <c r="F23" s="13">
        <f t="shared" si="1"/>
        <v>100</v>
      </c>
      <c r="G23" s="14">
        <f t="shared" si="13"/>
        <v>775</v>
      </c>
      <c r="H23" s="14">
        <f t="shared" si="14"/>
        <v>775</v>
      </c>
      <c r="I23" s="11"/>
      <c r="J23" s="11">
        <v>775</v>
      </c>
      <c r="K23" s="11"/>
      <c r="L23" s="11"/>
      <c r="M23" s="11"/>
      <c r="N23" s="13"/>
      <c r="O23" s="11"/>
      <c r="P23" s="252"/>
    </row>
    <row r="24" ht="25" customHeight="1" spans="1:16">
      <c r="A24" s="227" t="s">
        <v>37</v>
      </c>
      <c r="B24" s="11">
        <v>520</v>
      </c>
      <c r="C24" s="15" t="s">
        <v>163</v>
      </c>
      <c r="D24" s="11">
        <v>520</v>
      </c>
      <c r="E24" s="11">
        <f t="shared" si="12"/>
        <v>0</v>
      </c>
      <c r="F24" s="13">
        <f t="shared" si="1"/>
        <v>100</v>
      </c>
      <c r="G24" s="14">
        <f t="shared" si="13"/>
        <v>520</v>
      </c>
      <c r="H24" s="14">
        <f t="shared" si="14"/>
        <v>520</v>
      </c>
      <c r="I24" s="11"/>
      <c r="J24" s="11"/>
      <c r="K24" s="11"/>
      <c r="L24" s="11"/>
      <c r="M24" s="11">
        <v>520</v>
      </c>
      <c r="N24" s="13"/>
      <c r="O24" s="11"/>
      <c r="P24" s="252"/>
    </row>
    <row r="25" ht="25" customHeight="1" spans="1:16">
      <c r="A25" s="227" t="s">
        <v>150</v>
      </c>
      <c r="B25" s="11">
        <v>1338.5</v>
      </c>
      <c r="C25" s="15" t="s">
        <v>164</v>
      </c>
      <c r="D25" s="11">
        <v>1338.5</v>
      </c>
      <c r="E25" s="11">
        <f t="shared" si="12"/>
        <v>0</v>
      </c>
      <c r="F25" s="13">
        <f t="shared" si="1"/>
        <v>100</v>
      </c>
      <c r="G25" s="14">
        <f t="shared" si="13"/>
        <v>1338.5</v>
      </c>
      <c r="H25" s="14">
        <f t="shared" si="14"/>
        <v>1338.5</v>
      </c>
      <c r="I25" s="11"/>
      <c r="J25" s="11"/>
      <c r="K25" s="11">
        <v>1338.5</v>
      </c>
      <c r="L25" s="11"/>
      <c r="M25" s="11"/>
      <c r="N25" s="13"/>
      <c r="O25" s="11"/>
      <c r="P25" s="252"/>
    </row>
    <row r="26" ht="25" customHeight="1" spans="1:16">
      <c r="A26" s="227" t="s">
        <v>36</v>
      </c>
      <c r="B26" s="11">
        <v>20</v>
      </c>
      <c r="C26" s="15" t="s">
        <v>165</v>
      </c>
      <c r="D26" s="11"/>
      <c r="E26" s="11">
        <f t="shared" si="12"/>
        <v>20</v>
      </c>
      <c r="F26" s="13">
        <f t="shared" si="1"/>
        <v>0</v>
      </c>
      <c r="G26" s="14">
        <f t="shared" si="13"/>
        <v>0</v>
      </c>
      <c r="H26" s="186">
        <f t="shared" si="14"/>
        <v>0</v>
      </c>
      <c r="I26" s="11"/>
      <c r="J26" s="11"/>
      <c r="K26" s="11"/>
      <c r="L26" s="11"/>
      <c r="M26" s="11"/>
      <c r="N26" s="13"/>
      <c r="O26" s="11"/>
      <c r="P26" s="254"/>
    </row>
    <row r="27" ht="25" customHeight="1" spans="1:16">
      <c r="A27" s="225" t="s">
        <v>173</v>
      </c>
      <c r="B27" s="11">
        <f>B28+B29+B30+B31</f>
        <v>3000</v>
      </c>
      <c r="C27" s="15"/>
      <c r="D27" s="11">
        <f>D28+D29+D30+D31</f>
        <v>1587.1</v>
      </c>
      <c r="E27" s="11">
        <f t="shared" si="12"/>
        <v>1412.9</v>
      </c>
      <c r="F27" s="13">
        <f t="shared" si="1"/>
        <v>52.9033333333333</v>
      </c>
      <c r="G27" s="14">
        <f t="shared" si="13"/>
        <v>0</v>
      </c>
      <c r="H27" s="186">
        <f t="shared" si="14"/>
        <v>0</v>
      </c>
      <c r="I27" s="11">
        <v>0</v>
      </c>
      <c r="J27" s="11"/>
      <c r="K27" s="11"/>
      <c r="L27" s="11"/>
      <c r="M27" s="11"/>
      <c r="N27" s="13"/>
      <c r="O27" s="11"/>
      <c r="P27" s="252"/>
    </row>
    <row r="28" ht="25" customHeight="1" spans="1:16">
      <c r="A28" s="227" t="s">
        <v>150</v>
      </c>
      <c r="B28" s="11">
        <v>20</v>
      </c>
      <c r="C28" s="15" t="s">
        <v>176</v>
      </c>
      <c r="D28" s="11"/>
      <c r="E28" s="11">
        <f t="shared" si="12"/>
        <v>20</v>
      </c>
      <c r="F28" s="13">
        <f t="shared" si="1"/>
        <v>0</v>
      </c>
      <c r="G28" s="14">
        <f t="shared" si="13"/>
        <v>1587.1</v>
      </c>
      <c r="H28" s="186"/>
      <c r="I28" s="11"/>
      <c r="J28" s="11"/>
      <c r="K28" s="11"/>
      <c r="L28" s="11"/>
      <c r="M28" s="11"/>
      <c r="N28" s="13"/>
      <c r="O28" s="11">
        <v>1587.1</v>
      </c>
      <c r="P28" s="252"/>
    </row>
    <row r="29" ht="25" customHeight="1" spans="1:16">
      <c r="A29" s="227" t="s">
        <v>35</v>
      </c>
      <c r="B29" s="11">
        <v>1000</v>
      </c>
      <c r="C29" s="15" t="s">
        <v>177</v>
      </c>
      <c r="D29" s="11"/>
      <c r="E29" s="11">
        <f t="shared" si="12"/>
        <v>1000</v>
      </c>
      <c r="F29" s="13">
        <f t="shared" si="1"/>
        <v>0</v>
      </c>
      <c r="G29" s="14">
        <f t="shared" si="13"/>
        <v>0</v>
      </c>
      <c r="H29" s="186"/>
      <c r="I29" s="11"/>
      <c r="J29" s="11"/>
      <c r="K29" s="11"/>
      <c r="L29" s="11"/>
      <c r="M29" s="11"/>
      <c r="N29" s="13"/>
      <c r="O29" s="11"/>
      <c r="P29" s="252"/>
    </row>
    <row r="30" ht="25" customHeight="1" spans="1:16">
      <c r="A30" s="227" t="s">
        <v>148</v>
      </c>
      <c r="B30" s="11">
        <v>1680</v>
      </c>
      <c r="C30" s="15" t="s">
        <v>174</v>
      </c>
      <c r="D30" s="11">
        <v>1587.1</v>
      </c>
      <c r="E30" s="11">
        <f t="shared" si="12"/>
        <v>92.9000000000001</v>
      </c>
      <c r="F30" s="13">
        <f t="shared" si="1"/>
        <v>94.4702380952381</v>
      </c>
      <c r="G30" s="14">
        <f t="shared" si="13"/>
        <v>1587.1</v>
      </c>
      <c r="H30" s="186"/>
      <c r="I30" s="11"/>
      <c r="J30" s="11"/>
      <c r="K30" s="11"/>
      <c r="L30" s="11"/>
      <c r="M30" s="11"/>
      <c r="N30" s="13"/>
      <c r="O30" s="11">
        <v>1587.1</v>
      </c>
      <c r="P30" s="252"/>
    </row>
    <row r="31" ht="25" customHeight="1" spans="1:16">
      <c r="A31" s="227" t="s">
        <v>36</v>
      </c>
      <c r="B31" s="11">
        <v>300</v>
      </c>
      <c r="C31" s="15" t="s">
        <v>178</v>
      </c>
      <c r="D31" s="11"/>
      <c r="E31" s="11">
        <f t="shared" si="12"/>
        <v>300</v>
      </c>
      <c r="F31" s="13">
        <f t="shared" si="1"/>
        <v>0</v>
      </c>
      <c r="G31" s="14">
        <f t="shared" si="13"/>
        <v>0</v>
      </c>
      <c r="H31" s="186"/>
      <c r="I31" s="11"/>
      <c r="J31" s="11"/>
      <c r="K31" s="11"/>
      <c r="L31" s="11"/>
      <c r="M31" s="11"/>
      <c r="N31" s="13"/>
      <c r="O31" s="11"/>
      <c r="P31" s="252"/>
    </row>
    <row r="32" ht="25" customHeight="1" spans="1:16">
      <c r="A32" s="230" t="s">
        <v>102</v>
      </c>
      <c r="B32" s="11">
        <f>SUM(B33:B38)</f>
        <v>3000</v>
      </c>
      <c r="C32" s="189"/>
      <c r="D32" s="11">
        <f t="shared" ref="D32:P32" si="15">SUM(D33:D37)</f>
        <v>1271.6</v>
      </c>
      <c r="E32" s="11">
        <f t="shared" si="15"/>
        <v>1078.4</v>
      </c>
      <c r="F32" s="13">
        <f t="shared" si="1"/>
        <v>42.3866666666667</v>
      </c>
      <c r="G32" s="14">
        <f t="shared" si="15"/>
        <v>1271.6</v>
      </c>
      <c r="H32" s="186">
        <f t="shared" si="15"/>
        <v>1271.6</v>
      </c>
      <c r="I32" s="186">
        <f t="shared" si="15"/>
        <v>0</v>
      </c>
      <c r="J32" s="186">
        <f t="shared" si="15"/>
        <v>901.6</v>
      </c>
      <c r="K32" s="186">
        <f t="shared" si="15"/>
        <v>340</v>
      </c>
      <c r="L32" s="186">
        <f t="shared" si="15"/>
        <v>0</v>
      </c>
      <c r="M32" s="186">
        <f t="shared" si="15"/>
        <v>30</v>
      </c>
      <c r="N32" s="14">
        <f t="shared" si="15"/>
        <v>0</v>
      </c>
      <c r="O32" s="186">
        <f t="shared" si="15"/>
        <v>0</v>
      </c>
      <c r="P32" s="250">
        <f t="shared" si="15"/>
        <v>0</v>
      </c>
    </row>
    <row r="33" ht="25" customHeight="1" spans="1:16">
      <c r="A33" s="227" t="s">
        <v>150</v>
      </c>
      <c r="B33" s="11">
        <v>1020</v>
      </c>
      <c r="C33" s="12" t="s">
        <v>167</v>
      </c>
      <c r="D33" s="11">
        <v>901.6</v>
      </c>
      <c r="E33" s="11">
        <f t="shared" ref="E33:E38" si="16">B33-D33</f>
        <v>118.4</v>
      </c>
      <c r="F33" s="13">
        <f t="shared" si="1"/>
        <v>88.3921568627451</v>
      </c>
      <c r="G33" s="14">
        <f t="shared" ref="G33:G37" si="17">H33+O33+P33</f>
        <v>901.6</v>
      </c>
      <c r="H33" s="186">
        <f t="shared" ref="H33:H37" si="18">SUM(I33:N33)</f>
        <v>901.6</v>
      </c>
      <c r="I33" s="11">
        <v>0</v>
      </c>
      <c r="J33" s="11">
        <v>901.6</v>
      </c>
      <c r="K33" s="11"/>
      <c r="L33" s="11"/>
      <c r="M33" s="11"/>
      <c r="N33" s="13"/>
      <c r="O33" s="11"/>
      <c r="P33" s="252"/>
    </row>
    <row r="34" ht="25" customHeight="1" spans="1:16">
      <c r="A34" s="227" t="s">
        <v>37</v>
      </c>
      <c r="B34" s="11">
        <v>100</v>
      </c>
      <c r="C34" s="15" t="s">
        <v>168</v>
      </c>
      <c r="D34" s="11">
        <v>0</v>
      </c>
      <c r="E34" s="11">
        <f t="shared" si="16"/>
        <v>100</v>
      </c>
      <c r="F34" s="13">
        <f t="shared" si="1"/>
        <v>0</v>
      </c>
      <c r="G34" s="14">
        <f t="shared" si="17"/>
        <v>0</v>
      </c>
      <c r="H34" s="186">
        <f t="shared" si="18"/>
        <v>0</v>
      </c>
      <c r="I34" s="11">
        <v>0</v>
      </c>
      <c r="J34" s="11"/>
      <c r="K34" s="11"/>
      <c r="L34" s="11"/>
      <c r="M34" s="11"/>
      <c r="N34" s="11"/>
      <c r="O34" s="11"/>
      <c r="P34" s="252"/>
    </row>
    <row r="35" ht="25" customHeight="1" spans="1:16">
      <c r="A35" s="227" t="s">
        <v>150</v>
      </c>
      <c r="B35" s="11">
        <v>400</v>
      </c>
      <c r="C35" s="12" t="s">
        <v>164</v>
      </c>
      <c r="D35" s="11">
        <v>340</v>
      </c>
      <c r="E35" s="11">
        <f t="shared" si="16"/>
        <v>60</v>
      </c>
      <c r="F35" s="13">
        <f t="shared" si="1"/>
        <v>85</v>
      </c>
      <c r="G35" s="14">
        <f t="shared" si="17"/>
        <v>340</v>
      </c>
      <c r="H35" s="186">
        <f t="shared" si="18"/>
        <v>340</v>
      </c>
      <c r="I35" s="11"/>
      <c r="J35" s="11"/>
      <c r="K35" s="11">
        <v>340</v>
      </c>
      <c r="L35" s="11"/>
      <c r="M35" s="11"/>
      <c r="N35" s="11"/>
      <c r="O35" s="11"/>
      <c r="P35" s="252"/>
    </row>
    <row r="36" ht="25" customHeight="1" spans="1:16">
      <c r="A36" s="227" t="s">
        <v>37</v>
      </c>
      <c r="B36" s="11">
        <v>780</v>
      </c>
      <c r="C36" s="15" t="s">
        <v>163</v>
      </c>
      <c r="D36" s="11">
        <v>30</v>
      </c>
      <c r="E36" s="11">
        <f t="shared" si="16"/>
        <v>750</v>
      </c>
      <c r="F36" s="13">
        <f t="shared" si="1"/>
        <v>3.84615384615385</v>
      </c>
      <c r="G36" s="14">
        <f t="shared" si="17"/>
        <v>30</v>
      </c>
      <c r="H36" s="186">
        <f t="shared" si="18"/>
        <v>30</v>
      </c>
      <c r="I36" s="11"/>
      <c r="J36" s="11"/>
      <c r="K36" s="11"/>
      <c r="L36" s="11">
        <v>0</v>
      </c>
      <c r="M36" s="11">
        <v>30</v>
      </c>
      <c r="N36" s="11"/>
      <c r="O36" s="11"/>
      <c r="P36" s="252"/>
    </row>
    <row r="37" ht="25" customHeight="1" spans="1:16">
      <c r="A37" s="227" t="s">
        <v>150</v>
      </c>
      <c r="B37" s="11">
        <v>50</v>
      </c>
      <c r="C37" s="15" t="s">
        <v>169</v>
      </c>
      <c r="D37" s="11">
        <v>0</v>
      </c>
      <c r="E37" s="11">
        <f t="shared" si="16"/>
        <v>50</v>
      </c>
      <c r="F37" s="13">
        <f t="shared" si="1"/>
        <v>0</v>
      </c>
      <c r="G37" s="14">
        <f t="shared" si="17"/>
        <v>0</v>
      </c>
      <c r="H37" s="186">
        <f t="shared" si="18"/>
        <v>0</v>
      </c>
      <c r="I37" s="11">
        <v>0</v>
      </c>
      <c r="J37" s="11"/>
      <c r="K37" s="11"/>
      <c r="L37" s="11"/>
      <c r="M37" s="11"/>
      <c r="N37" s="11"/>
      <c r="O37" s="11"/>
      <c r="P37" s="252"/>
    </row>
    <row r="38" ht="25" customHeight="1" spans="1:16">
      <c r="A38" s="227" t="s">
        <v>165</v>
      </c>
      <c r="B38" s="11">
        <v>650</v>
      </c>
      <c r="C38" s="15" t="s">
        <v>165</v>
      </c>
      <c r="D38" s="11"/>
      <c r="E38" s="11">
        <f t="shared" si="16"/>
        <v>650</v>
      </c>
      <c r="F38" s="13">
        <f t="shared" si="1"/>
        <v>0</v>
      </c>
      <c r="G38" s="14"/>
      <c r="H38" s="186"/>
      <c r="I38" s="11"/>
      <c r="J38" s="11"/>
      <c r="K38" s="11"/>
      <c r="L38" s="11"/>
      <c r="M38" s="11"/>
      <c r="N38" s="11"/>
      <c r="O38" s="11"/>
      <c r="P38" s="252"/>
    </row>
    <row r="39" ht="25" customHeight="1" spans="1:16">
      <c r="A39" s="231" t="s">
        <v>27</v>
      </c>
      <c r="B39" s="232">
        <f t="shared" ref="B39:G39" si="19">B32+B6</f>
        <v>24527.5</v>
      </c>
      <c r="C39" s="233"/>
      <c r="D39" s="232">
        <f t="shared" si="19"/>
        <v>17004.57</v>
      </c>
      <c r="E39" s="232">
        <f t="shared" si="19"/>
        <v>6872.93</v>
      </c>
      <c r="F39" s="234">
        <f t="shared" si="1"/>
        <v>69.3285903577617</v>
      </c>
      <c r="G39" s="234">
        <f t="shared" si="19"/>
        <v>15417.47263</v>
      </c>
      <c r="H39" s="235">
        <f t="shared" ref="H39:H49" si="20">SUM(I39:N39)</f>
        <v>12212.2</v>
      </c>
      <c r="I39" s="232">
        <f t="shared" ref="I39:L39" si="21">I32+I6</f>
        <v>4615.9</v>
      </c>
      <c r="J39" s="232">
        <f t="shared" si="21"/>
        <v>7404.6</v>
      </c>
      <c r="K39" s="232"/>
      <c r="L39" s="232">
        <f t="shared" si="21"/>
        <v>191.7</v>
      </c>
      <c r="M39" s="232"/>
      <c r="N39" s="232"/>
      <c r="O39" s="232">
        <f>O32+O6</f>
        <v>1843.29</v>
      </c>
      <c r="P39" s="255"/>
    </row>
    <row r="40" ht="40" customHeight="1" spans="1:16">
      <c r="A40" s="236" t="s">
        <v>170</v>
      </c>
      <c r="B40" s="237">
        <f>SUM(B41:B49)</f>
        <v>19622.5</v>
      </c>
      <c r="C40" s="237">
        <f t="shared" ref="C40:P40" si="22">SUM(C41:C49)</f>
        <v>0</v>
      </c>
      <c r="D40" s="238">
        <f t="shared" si="22"/>
        <v>12474.28263</v>
      </c>
      <c r="E40" s="237">
        <f t="shared" si="22"/>
        <v>7148.21737</v>
      </c>
      <c r="F40" s="238">
        <f t="shared" si="1"/>
        <v>63.5713218499172</v>
      </c>
      <c r="G40" s="238">
        <f t="shared" ref="G40:G49" si="23">H40+O40+P40</f>
        <v>12474.28263</v>
      </c>
      <c r="H40" s="238">
        <f t="shared" si="22"/>
        <v>12290.04163</v>
      </c>
      <c r="I40" s="238">
        <f t="shared" si="22"/>
        <v>4615.9</v>
      </c>
      <c r="J40" s="238">
        <f t="shared" si="22"/>
        <v>4549.6</v>
      </c>
      <c r="K40" s="238">
        <f t="shared" si="22"/>
        <v>1678.5</v>
      </c>
      <c r="L40" s="238">
        <f t="shared" si="22"/>
        <v>191.7</v>
      </c>
      <c r="M40" s="238">
        <f t="shared" si="22"/>
        <v>550</v>
      </c>
      <c r="N40" s="238">
        <f t="shared" si="22"/>
        <v>704.34163</v>
      </c>
      <c r="O40" s="238">
        <f t="shared" si="22"/>
        <v>168</v>
      </c>
      <c r="P40" s="256">
        <f t="shared" si="22"/>
        <v>16.241</v>
      </c>
    </row>
    <row r="41" ht="40" customHeight="1" spans="1:16">
      <c r="A41" s="227" t="s">
        <v>148</v>
      </c>
      <c r="B41" s="11">
        <f t="shared" ref="B41:B44" si="24">B9</f>
        <v>168</v>
      </c>
      <c r="C41" s="24"/>
      <c r="D41" s="13">
        <v>168</v>
      </c>
      <c r="E41" s="13">
        <f t="shared" ref="E41:E49" si="25">B41-D41</f>
        <v>0</v>
      </c>
      <c r="F41" s="13">
        <f t="shared" si="1"/>
        <v>100</v>
      </c>
      <c r="G41" s="239">
        <f t="shared" si="23"/>
        <v>168</v>
      </c>
      <c r="H41" s="13">
        <f t="shared" si="20"/>
        <v>0</v>
      </c>
      <c r="I41" s="13"/>
      <c r="J41" s="13"/>
      <c r="K41" s="13"/>
      <c r="L41" s="13"/>
      <c r="M41" s="13"/>
      <c r="N41" s="13"/>
      <c r="O41" s="13">
        <v>168</v>
      </c>
      <c r="P41" s="253"/>
    </row>
    <row r="42" ht="40" customHeight="1" spans="1:16">
      <c r="A42" s="227" t="s">
        <v>150</v>
      </c>
      <c r="B42" s="11">
        <f>B10+B23+B25+B33+B35+B37</f>
        <v>8214.5</v>
      </c>
      <c r="C42" s="24"/>
      <c r="D42" s="13">
        <v>7971</v>
      </c>
      <c r="E42" s="13">
        <f t="shared" si="25"/>
        <v>243.5</v>
      </c>
      <c r="F42" s="13">
        <f t="shared" si="1"/>
        <v>97.0357295027086</v>
      </c>
      <c r="G42" s="239">
        <f t="shared" si="23"/>
        <v>7971</v>
      </c>
      <c r="H42" s="13">
        <f t="shared" si="20"/>
        <v>7971</v>
      </c>
      <c r="I42" s="13">
        <v>4615.9</v>
      </c>
      <c r="J42" s="13">
        <f>J23+J33</f>
        <v>1676.6</v>
      </c>
      <c r="K42" s="13">
        <f>K35+K25</f>
        <v>1678.5</v>
      </c>
      <c r="L42" s="13"/>
      <c r="M42" s="13"/>
      <c r="N42" s="13"/>
      <c r="O42" s="13"/>
      <c r="P42" s="253"/>
    </row>
    <row r="43" ht="40" customHeight="1" spans="1:16">
      <c r="A43" s="227" t="s">
        <v>152</v>
      </c>
      <c r="B43" s="11">
        <f t="shared" si="24"/>
        <v>2058</v>
      </c>
      <c r="C43" s="24"/>
      <c r="D43" s="13">
        <v>0</v>
      </c>
      <c r="E43" s="13">
        <f t="shared" si="25"/>
        <v>2058</v>
      </c>
      <c r="F43" s="13">
        <f t="shared" si="1"/>
        <v>0</v>
      </c>
      <c r="G43" s="239">
        <f t="shared" si="23"/>
        <v>0</v>
      </c>
      <c r="H43" s="13">
        <f t="shared" si="20"/>
        <v>0</v>
      </c>
      <c r="I43" s="13"/>
      <c r="J43" s="13"/>
      <c r="K43" s="13"/>
      <c r="L43" s="13"/>
      <c r="M43" s="13"/>
      <c r="N43" s="13"/>
      <c r="O43" s="13"/>
      <c r="P43" s="253"/>
    </row>
    <row r="44" ht="40" customHeight="1" spans="1:16">
      <c r="A44" s="227" t="s">
        <v>154</v>
      </c>
      <c r="B44" s="11">
        <f t="shared" si="24"/>
        <v>567</v>
      </c>
      <c r="C44" s="24"/>
      <c r="D44" s="13">
        <v>567</v>
      </c>
      <c r="E44" s="13">
        <f t="shared" si="25"/>
        <v>0</v>
      </c>
      <c r="F44" s="13">
        <f t="shared" si="1"/>
        <v>100</v>
      </c>
      <c r="G44" s="239">
        <f t="shared" si="23"/>
        <v>567</v>
      </c>
      <c r="H44" s="13">
        <f t="shared" si="20"/>
        <v>567</v>
      </c>
      <c r="I44" s="13"/>
      <c r="J44" s="13"/>
      <c r="K44" s="13"/>
      <c r="L44" s="13"/>
      <c r="M44" s="13"/>
      <c r="N44" s="13">
        <v>567</v>
      </c>
      <c r="O44" s="13"/>
      <c r="P44" s="253"/>
    </row>
    <row r="45" ht="40" customHeight="1" spans="1:16">
      <c r="A45" s="227" t="s">
        <v>36</v>
      </c>
      <c r="B45" s="11">
        <f>B13+B26+B27</f>
        <v>3576</v>
      </c>
      <c r="C45" s="24"/>
      <c r="D45" s="13">
        <v>249.59388</v>
      </c>
      <c r="E45" s="13">
        <f t="shared" si="25"/>
        <v>3326.40612</v>
      </c>
      <c r="F45" s="13">
        <f t="shared" si="1"/>
        <v>6.97969463087248</v>
      </c>
      <c r="G45" s="239">
        <f t="shared" si="23"/>
        <v>249.59388</v>
      </c>
      <c r="H45" s="13">
        <f t="shared" si="20"/>
        <v>233.35288</v>
      </c>
      <c r="I45" s="13"/>
      <c r="J45" s="13"/>
      <c r="K45" s="13"/>
      <c r="L45" s="13">
        <v>191.7</v>
      </c>
      <c r="M45" s="13"/>
      <c r="N45" s="13">
        <f t="shared" ref="N45:P45" si="26">N13</f>
        <v>41.65288</v>
      </c>
      <c r="O45" s="13">
        <f t="shared" si="26"/>
        <v>0</v>
      </c>
      <c r="P45" s="253">
        <f t="shared" si="26"/>
        <v>16.241</v>
      </c>
    </row>
    <row r="46" ht="40" customHeight="1" spans="1:16">
      <c r="A46" s="227" t="s">
        <v>33</v>
      </c>
      <c r="B46" s="11">
        <f>B14+B22</f>
        <v>3260</v>
      </c>
      <c r="C46" s="24"/>
      <c r="D46" s="13">
        <v>2968.68875</v>
      </c>
      <c r="E46" s="13">
        <f t="shared" si="25"/>
        <v>291.31125</v>
      </c>
      <c r="F46" s="13">
        <f t="shared" si="1"/>
        <v>91.0640720858896</v>
      </c>
      <c r="G46" s="239">
        <f t="shared" si="23"/>
        <v>2968.68875</v>
      </c>
      <c r="H46" s="13">
        <f t="shared" si="20"/>
        <v>2968.68875</v>
      </c>
      <c r="I46" s="13"/>
      <c r="J46" s="13">
        <f>J14+J22</f>
        <v>2873</v>
      </c>
      <c r="K46" s="13"/>
      <c r="L46" s="13"/>
      <c r="M46" s="13"/>
      <c r="N46" s="13">
        <f>N14</f>
        <v>95.68875</v>
      </c>
      <c r="O46" s="13"/>
      <c r="P46" s="253"/>
    </row>
    <row r="47" ht="40" customHeight="1" spans="1:16">
      <c r="A47" s="227" t="s">
        <v>56</v>
      </c>
      <c r="B47" s="11">
        <f>B15</f>
        <v>329</v>
      </c>
      <c r="C47" s="24"/>
      <c r="D47" s="13">
        <v>0</v>
      </c>
      <c r="E47" s="13">
        <f t="shared" si="25"/>
        <v>329</v>
      </c>
      <c r="F47" s="13">
        <f t="shared" si="1"/>
        <v>0</v>
      </c>
      <c r="G47" s="239">
        <f t="shared" si="23"/>
        <v>0</v>
      </c>
      <c r="H47" s="13">
        <f t="shared" si="20"/>
        <v>0</v>
      </c>
      <c r="I47" s="13"/>
      <c r="J47" s="13"/>
      <c r="K47" s="13"/>
      <c r="L47" s="13"/>
      <c r="M47" s="13"/>
      <c r="N47" s="13"/>
      <c r="O47" s="13"/>
      <c r="P47" s="253"/>
    </row>
    <row r="48" ht="40" customHeight="1" spans="1:16">
      <c r="A48" s="227" t="s">
        <v>39</v>
      </c>
      <c r="B48" s="11">
        <f>B16</f>
        <v>50</v>
      </c>
      <c r="C48" s="24"/>
      <c r="D48" s="13">
        <v>0</v>
      </c>
      <c r="E48" s="13">
        <f t="shared" si="25"/>
        <v>50</v>
      </c>
      <c r="F48" s="13">
        <f t="shared" si="1"/>
        <v>0</v>
      </c>
      <c r="G48" s="239">
        <f t="shared" si="23"/>
        <v>0</v>
      </c>
      <c r="H48" s="13">
        <f t="shared" si="20"/>
        <v>0</v>
      </c>
      <c r="I48" s="13"/>
      <c r="J48" s="13"/>
      <c r="K48" s="13"/>
      <c r="L48" s="13"/>
      <c r="M48" s="13"/>
      <c r="N48" s="13"/>
      <c r="O48" s="13"/>
      <c r="P48" s="253"/>
    </row>
    <row r="49" ht="40" customHeight="1" spans="1:16">
      <c r="A49" s="231" t="s">
        <v>37</v>
      </c>
      <c r="B49" s="232">
        <f>B24+B34+B36</f>
        <v>1400</v>
      </c>
      <c r="C49" s="240"/>
      <c r="D49" s="234">
        <v>550</v>
      </c>
      <c r="E49" s="234">
        <f t="shared" si="25"/>
        <v>850</v>
      </c>
      <c r="F49" s="234">
        <f t="shared" si="1"/>
        <v>39.2857142857143</v>
      </c>
      <c r="G49" s="241">
        <f t="shared" si="23"/>
        <v>550</v>
      </c>
      <c r="H49" s="234">
        <f t="shared" si="20"/>
        <v>550</v>
      </c>
      <c r="I49" s="234"/>
      <c r="J49" s="234"/>
      <c r="K49" s="234"/>
      <c r="L49" s="234"/>
      <c r="M49" s="234">
        <v>550</v>
      </c>
      <c r="N49" s="234"/>
      <c r="O49" s="234"/>
      <c r="P49" s="257"/>
    </row>
  </sheetData>
  <mergeCells count="14">
    <mergeCell ref="A1:P1"/>
    <mergeCell ref="C2:K2"/>
    <mergeCell ref="O2:P2"/>
    <mergeCell ref="G3:P3"/>
    <mergeCell ref="H4:N4"/>
    <mergeCell ref="A3:A5"/>
    <mergeCell ref="B3:B5"/>
    <mergeCell ref="C3:C5"/>
    <mergeCell ref="D3:D5"/>
    <mergeCell ref="E3:E5"/>
    <mergeCell ref="F3:F5"/>
    <mergeCell ref="G4:G5"/>
    <mergeCell ref="O4:O5"/>
    <mergeCell ref="P4:P5"/>
  </mergeCells>
  <pageMargins left="0.609027777777778" right="0.354166666666667" top="0.393055555555556" bottom="0.196527777777778" header="0.511805555555556" footer="0.511805555555556"/>
  <pageSetup paperSize="9" scale="44" fitToHeight="0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2"/>
  <sheetViews>
    <sheetView showZeros="0" zoomScale="72" zoomScaleNormal="72" workbookViewId="0">
      <pane xSplit="1" ySplit="5" topLeftCell="B6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34.8916666666667" customWidth="1"/>
    <col min="2" max="2" width="13.1833333333333" customWidth="1"/>
    <col min="3" max="3" width="35.5916666666667" customWidth="1"/>
    <col min="4" max="4" width="13.1916666666667" customWidth="1"/>
    <col min="5" max="5" width="12.0833333333333" customWidth="1"/>
    <col min="6" max="6" width="10.75" customWidth="1"/>
    <col min="7" max="7" width="13.025" customWidth="1"/>
    <col min="8" max="8" width="13.1916666666667" customWidth="1"/>
    <col min="9" max="9" width="12.25" customWidth="1"/>
    <col min="10" max="10" width="12.9166666666667" customWidth="1"/>
    <col min="11" max="11" width="13.1666666666667" customWidth="1"/>
    <col min="12" max="12" width="10.5916666666667" customWidth="1"/>
    <col min="13" max="13" width="11.25" customWidth="1"/>
    <col min="14" max="14" width="12.5" customWidth="1"/>
    <col min="15" max="15" width="12.15" customWidth="1"/>
    <col min="16" max="16" width="10.75" customWidth="1"/>
  </cols>
  <sheetData>
    <row r="1" ht="22" customHeight="1" spans="1:16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9" customHeight="1" spans="1:16">
      <c r="A2" s="2" t="s">
        <v>118</v>
      </c>
      <c r="B2" s="3"/>
      <c r="C2" s="4">
        <v>43616</v>
      </c>
      <c r="D2" s="4"/>
      <c r="E2" s="4"/>
      <c r="F2" s="4"/>
      <c r="G2" s="4"/>
      <c r="H2" s="4"/>
      <c r="I2" s="4"/>
      <c r="J2" s="4"/>
      <c r="K2" s="4"/>
      <c r="L2" s="16"/>
      <c r="M2" s="16"/>
      <c r="N2" s="16"/>
      <c r="O2" s="17" t="s">
        <v>3</v>
      </c>
      <c r="P2" s="17"/>
    </row>
    <row r="3" ht="23" customHeight="1" spans="1:16">
      <c r="A3" s="174" t="s">
        <v>134</v>
      </c>
      <c r="B3" s="174" t="s">
        <v>135</v>
      </c>
      <c r="C3" s="174" t="s">
        <v>62</v>
      </c>
      <c r="D3" s="175" t="s">
        <v>136</v>
      </c>
      <c r="E3" s="175" t="s">
        <v>137</v>
      </c>
      <c r="F3" s="175" t="s">
        <v>7</v>
      </c>
      <c r="G3" s="174" t="s">
        <v>65</v>
      </c>
      <c r="H3" s="174"/>
      <c r="I3" s="174"/>
      <c r="J3" s="174"/>
      <c r="K3" s="174"/>
      <c r="L3" s="174"/>
      <c r="M3" s="174"/>
      <c r="N3" s="174"/>
      <c r="O3" s="174"/>
      <c r="P3" s="174"/>
    </row>
    <row r="4" ht="23" customHeight="1" spans="1:16">
      <c r="A4" s="174"/>
      <c r="B4" s="174"/>
      <c r="C4" s="174"/>
      <c r="D4" s="175"/>
      <c r="E4" s="175"/>
      <c r="F4" s="175"/>
      <c r="G4" s="174" t="s">
        <v>138</v>
      </c>
      <c r="H4" s="174" t="s">
        <v>139</v>
      </c>
      <c r="I4" s="174"/>
      <c r="J4" s="174"/>
      <c r="K4" s="174"/>
      <c r="L4" s="174"/>
      <c r="M4" s="174"/>
      <c r="N4" s="174"/>
      <c r="O4" s="181" t="s">
        <v>140</v>
      </c>
      <c r="P4" s="174" t="s">
        <v>141</v>
      </c>
    </row>
    <row r="5" ht="23" customHeight="1" spans="1:16">
      <c r="A5" s="174"/>
      <c r="B5" s="174"/>
      <c r="C5" s="174"/>
      <c r="D5" s="175"/>
      <c r="E5" s="175"/>
      <c r="F5" s="175"/>
      <c r="G5" s="174"/>
      <c r="H5" s="174" t="s">
        <v>66</v>
      </c>
      <c r="I5" s="174" t="s">
        <v>142</v>
      </c>
      <c r="J5" s="174" t="s">
        <v>143</v>
      </c>
      <c r="K5" s="174" t="s">
        <v>144</v>
      </c>
      <c r="L5" s="175" t="s">
        <v>69</v>
      </c>
      <c r="M5" s="175" t="s">
        <v>145</v>
      </c>
      <c r="N5" s="174" t="s">
        <v>131</v>
      </c>
      <c r="O5" s="181"/>
      <c r="P5" s="174"/>
    </row>
    <row r="6" ht="42" customHeight="1" spans="1:16">
      <c r="A6" s="203" t="s">
        <v>93</v>
      </c>
      <c r="B6" s="204">
        <f>B7+B20+B24+B30</f>
        <v>22351.5</v>
      </c>
      <c r="C6" s="204">
        <f>C7+C20+C24+C30</f>
        <v>0</v>
      </c>
      <c r="D6" s="179">
        <f>D7+D20+D24+D30</f>
        <v>15987.888285</v>
      </c>
      <c r="E6" s="179">
        <f>E7+E20+E24+E30</f>
        <v>6363.611715</v>
      </c>
      <c r="F6" s="178">
        <f>D6/B6*100</f>
        <v>71.5293751426079</v>
      </c>
      <c r="G6" s="179">
        <f>G7+G20+G24+G30</f>
        <v>15987.888011</v>
      </c>
      <c r="H6" s="179">
        <f>SUM(I6:N6)</f>
        <v>13873.44163</v>
      </c>
      <c r="I6" s="179">
        <f>SUM(I7,I20,I24,I30)</f>
        <v>4615.9</v>
      </c>
      <c r="J6" s="179">
        <f t="shared" ref="J6:P6" si="0">SUM(J7,J20,J24,J30)</f>
        <v>6503</v>
      </c>
      <c r="K6" s="179">
        <f t="shared" si="0"/>
        <v>1338.5</v>
      </c>
      <c r="L6" s="179">
        <f t="shared" si="0"/>
        <v>191.7</v>
      </c>
      <c r="M6" s="179">
        <f t="shared" si="0"/>
        <v>520</v>
      </c>
      <c r="N6" s="179">
        <f t="shared" si="0"/>
        <v>704.34163</v>
      </c>
      <c r="O6" s="179">
        <f t="shared" si="0"/>
        <v>2098.205381</v>
      </c>
      <c r="P6" s="179">
        <f t="shared" si="0"/>
        <v>16.241</v>
      </c>
    </row>
    <row r="7" ht="42" customHeight="1" spans="1:16">
      <c r="A7" s="185" t="s">
        <v>180</v>
      </c>
      <c r="B7" s="186">
        <f>B8+B15+B18+B19</f>
        <v>12239</v>
      </c>
      <c r="C7" s="186"/>
      <c r="D7" s="186">
        <f>D8+D15+D18+D19</f>
        <v>8365.18</v>
      </c>
      <c r="E7" s="186">
        <f>E8+E15+E18+E19</f>
        <v>3873.82</v>
      </c>
      <c r="F7" s="13">
        <f t="shared" ref="F7:F38" si="1">D7/B7*100</f>
        <v>68.3485578887164</v>
      </c>
      <c r="G7" s="14">
        <f>SUM(G8,G15,G18,G19)</f>
        <v>8365.18263</v>
      </c>
      <c r="H7" s="14">
        <f t="shared" ref="H7:H47" si="2">SUM(I7:N7)</f>
        <v>8180.94163</v>
      </c>
      <c r="I7" s="14">
        <f t="shared" ref="B7:N7" si="3">SUM(I8,I18,I19)</f>
        <v>4615.9</v>
      </c>
      <c r="J7" s="14">
        <f t="shared" si="3"/>
        <v>2669</v>
      </c>
      <c r="K7" s="14">
        <f t="shared" si="3"/>
        <v>0</v>
      </c>
      <c r="L7" s="14">
        <f t="shared" si="3"/>
        <v>191.7</v>
      </c>
      <c r="M7" s="14">
        <f t="shared" si="3"/>
        <v>0</v>
      </c>
      <c r="N7" s="14">
        <f t="shared" si="3"/>
        <v>704.34163</v>
      </c>
      <c r="O7" s="14">
        <f>O8+O19+O18</f>
        <v>168</v>
      </c>
      <c r="P7" s="14">
        <f>SUM(P8,P18,P19)</f>
        <v>16.241</v>
      </c>
    </row>
    <row r="8" ht="42" customHeight="1" spans="1:16">
      <c r="A8" s="180" t="s">
        <v>181</v>
      </c>
      <c r="B8" s="186">
        <f t="shared" ref="B8:G8" si="4">SUM(B9:B14)</f>
        <v>11036</v>
      </c>
      <c r="C8" s="187"/>
      <c r="D8" s="14">
        <f t="shared" si="4"/>
        <v>8365.18</v>
      </c>
      <c r="E8" s="14">
        <f t="shared" si="4"/>
        <v>2670.82</v>
      </c>
      <c r="F8" s="13">
        <f t="shared" si="1"/>
        <v>75.7990213845596</v>
      </c>
      <c r="G8" s="14">
        <f>SUM(G9:G14)</f>
        <v>8365.18263</v>
      </c>
      <c r="H8" s="14">
        <f t="shared" si="2"/>
        <v>8180.94163</v>
      </c>
      <c r="I8" s="14">
        <f t="shared" ref="H8:P8" si="5">SUM(I9:I14)</f>
        <v>4615.9</v>
      </c>
      <c r="J8" s="14">
        <f t="shared" si="5"/>
        <v>2669</v>
      </c>
      <c r="K8" s="14">
        <f t="shared" si="5"/>
        <v>0</v>
      </c>
      <c r="L8" s="14">
        <f t="shared" si="5"/>
        <v>191.7</v>
      </c>
      <c r="M8" s="14">
        <f t="shared" si="5"/>
        <v>0</v>
      </c>
      <c r="N8" s="14">
        <f t="shared" si="5"/>
        <v>704.34163</v>
      </c>
      <c r="O8" s="14">
        <f t="shared" si="5"/>
        <v>168</v>
      </c>
      <c r="P8" s="14">
        <f t="shared" si="5"/>
        <v>16.241</v>
      </c>
    </row>
    <row r="9" ht="42" customHeight="1" spans="1:16">
      <c r="A9" s="10" t="s">
        <v>148</v>
      </c>
      <c r="B9" s="11">
        <v>168</v>
      </c>
      <c r="C9" s="15" t="s">
        <v>149</v>
      </c>
      <c r="D9" s="13">
        <v>168</v>
      </c>
      <c r="E9" s="13">
        <f t="shared" ref="E9:E23" si="6">B9-D9</f>
        <v>0</v>
      </c>
      <c r="F9" s="13">
        <f t="shared" si="1"/>
        <v>100</v>
      </c>
      <c r="G9" s="13">
        <f t="shared" ref="G9:G23" si="7">SUM(I9:P9)</f>
        <v>168</v>
      </c>
      <c r="H9" s="14">
        <f t="shared" si="2"/>
        <v>0</v>
      </c>
      <c r="I9" s="13"/>
      <c r="J9" s="13"/>
      <c r="K9" s="13"/>
      <c r="L9" s="196"/>
      <c r="M9" s="196"/>
      <c r="N9" s="196"/>
      <c r="O9" s="13">
        <v>168</v>
      </c>
      <c r="P9" s="13"/>
    </row>
    <row r="10" ht="42" customHeight="1" spans="1:16">
      <c r="A10" s="10" t="s">
        <v>150</v>
      </c>
      <c r="B10" s="11">
        <v>4631</v>
      </c>
      <c r="C10" s="39" t="s">
        <v>151</v>
      </c>
      <c r="D10" s="13">
        <v>4615.9</v>
      </c>
      <c r="E10" s="13">
        <f t="shared" si="6"/>
        <v>15.1000000000004</v>
      </c>
      <c r="F10" s="13">
        <f t="shared" si="1"/>
        <v>99.6739365147916</v>
      </c>
      <c r="G10" s="13">
        <f t="shared" si="7"/>
        <v>4615.9</v>
      </c>
      <c r="H10" s="14">
        <f t="shared" si="2"/>
        <v>4615.9</v>
      </c>
      <c r="I10" s="13">
        <v>4615.9</v>
      </c>
      <c r="J10" s="13"/>
      <c r="K10" s="13"/>
      <c r="L10" s="13"/>
      <c r="M10" s="13"/>
      <c r="N10" s="13"/>
      <c r="O10" s="13"/>
      <c r="P10" s="13"/>
    </row>
    <row r="11" ht="42" customHeight="1" spans="1:16">
      <c r="A11" s="10" t="s">
        <v>152</v>
      </c>
      <c r="B11" s="11">
        <v>2058</v>
      </c>
      <c r="C11" s="15" t="s">
        <v>153</v>
      </c>
      <c r="D11" s="13"/>
      <c r="E11" s="13">
        <f t="shared" si="6"/>
        <v>2058</v>
      </c>
      <c r="F11" s="13">
        <f t="shared" si="1"/>
        <v>0</v>
      </c>
      <c r="G11" s="13">
        <f t="shared" si="7"/>
        <v>0</v>
      </c>
      <c r="H11" s="14">
        <f t="shared" si="2"/>
        <v>0</v>
      </c>
      <c r="I11" s="13"/>
      <c r="J11" s="13"/>
      <c r="K11" s="13"/>
      <c r="L11" s="13"/>
      <c r="M11" s="13"/>
      <c r="N11" s="13"/>
      <c r="O11" s="13"/>
      <c r="P11" s="13"/>
    </row>
    <row r="12" ht="42" customHeight="1" spans="1:16">
      <c r="A12" s="10" t="s">
        <v>154</v>
      </c>
      <c r="B12" s="11">
        <v>567</v>
      </c>
      <c r="C12" s="15" t="s">
        <v>155</v>
      </c>
      <c r="D12" s="13">
        <v>567</v>
      </c>
      <c r="E12" s="13">
        <f t="shared" si="6"/>
        <v>0</v>
      </c>
      <c r="F12" s="13">
        <f t="shared" si="1"/>
        <v>100</v>
      </c>
      <c r="G12" s="13">
        <f t="shared" si="7"/>
        <v>567</v>
      </c>
      <c r="H12" s="14">
        <f t="shared" si="2"/>
        <v>567</v>
      </c>
      <c r="I12" s="196"/>
      <c r="J12" s="13"/>
      <c r="K12" s="13"/>
      <c r="L12" s="13"/>
      <c r="M12" s="13"/>
      <c r="N12" s="13">
        <v>567</v>
      </c>
      <c r="O12" s="13"/>
      <c r="P12" s="13"/>
    </row>
    <row r="13" ht="42" customHeight="1" spans="1:16">
      <c r="A13" s="10" t="s">
        <v>36</v>
      </c>
      <c r="B13" s="11">
        <f>176+380</f>
        <v>556</v>
      </c>
      <c r="C13" s="39" t="s">
        <v>156</v>
      </c>
      <c r="D13" s="13">
        <v>249.59</v>
      </c>
      <c r="E13" s="13">
        <f t="shared" si="6"/>
        <v>306.41</v>
      </c>
      <c r="F13" s="13">
        <f t="shared" si="1"/>
        <v>44.8902877697842</v>
      </c>
      <c r="G13" s="13">
        <f t="shared" si="7"/>
        <v>249.59388</v>
      </c>
      <c r="H13" s="14">
        <f t="shared" si="2"/>
        <v>233.35288</v>
      </c>
      <c r="I13" s="13"/>
      <c r="J13" s="13"/>
      <c r="K13" s="13"/>
      <c r="L13" s="13">
        <v>191.7</v>
      </c>
      <c r="M13" s="13"/>
      <c r="N13" s="13">
        <v>41.65288</v>
      </c>
      <c r="O13" s="13"/>
      <c r="P13" s="13">
        <v>16.241</v>
      </c>
    </row>
    <row r="14" ht="42" customHeight="1" spans="1:16">
      <c r="A14" s="10" t="s">
        <v>33</v>
      </c>
      <c r="B14" s="11">
        <f>387+2669</f>
        <v>3056</v>
      </c>
      <c r="C14" s="15" t="s">
        <v>157</v>
      </c>
      <c r="D14" s="13">
        <f>2669+95.69</f>
        <v>2764.69</v>
      </c>
      <c r="E14" s="13">
        <f t="shared" si="6"/>
        <v>291.31</v>
      </c>
      <c r="F14" s="13">
        <f t="shared" si="1"/>
        <v>90.4676047120419</v>
      </c>
      <c r="G14" s="13">
        <f t="shared" si="7"/>
        <v>2764.68875</v>
      </c>
      <c r="H14" s="14">
        <f t="shared" si="2"/>
        <v>2764.68875</v>
      </c>
      <c r="I14" s="13"/>
      <c r="J14" s="13">
        <v>2669</v>
      </c>
      <c r="K14" s="13"/>
      <c r="L14" s="13"/>
      <c r="M14" s="13"/>
      <c r="N14" s="13">
        <v>95.68875</v>
      </c>
      <c r="O14" s="13"/>
      <c r="P14" s="13"/>
    </row>
    <row r="15" ht="42" customHeight="1" spans="1:16">
      <c r="A15" s="180" t="s">
        <v>182</v>
      </c>
      <c r="B15" s="11">
        <f>B16+B17</f>
        <v>824</v>
      </c>
      <c r="C15" s="15"/>
      <c r="D15" s="13"/>
      <c r="E15" s="13">
        <f t="shared" si="6"/>
        <v>824</v>
      </c>
      <c r="F15" s="13">
        <f t="shared" si="1"/>
        <v>0</v>
      </c>
      <c r="G15" s="13">
        <f t="shared" si="7"/>
        <v>0</v>
      </c>
      <c r="H15" s="14">
        <f t="shared" si="2"/>
        <v>0</v>
      </c>
      <c r="I15" s="13"/>
      <c r="J15" s="13"/>
      <c r="K15" s="13"/>
      <c r="L15" s="13"/>
      <c r="M15" s="13"/>
      <c r="N15" s="13"/>
      <c r="O15" s="13"/>
      <c r="P15" s="13"/>
    </row>
    <row r="16" ht="42" customHeight="1" spans="1:16">
      <c r="A16" s="10" t="s">
        <v>150</v>
      </c>
      <c r="B16" s="11">
        <v>500</v>
      </c>
      <c r="C16" s="15" t="s">
        <v>164</v>
      </c>
      <c r="D16" s="13"/>
      <c r="E16" s="13">
        <f t="shared" si="6"/>
        <v>500</v>
      </c>
      <c r="F16" s="13">
        <f t="shared" si="1"/>
        <v>0</v>
      </c>
      <c r="G16" s="13">
        <f t="shared" si="7"/>
        <v>0</v>
      </c>
      <c r="H16" s="14">
        <f t="shared" si="2"/>
        <v>0</v>
      </c>
      <c r="I16" s="13"/>
      <c r="J16" s="13"/>
      <c r="K16" s="13"/>
      <c r="L16" s="13"/>
      <c r="M16" s="13"/>
      <c r="N16" s="13"/>
      <c r="O16" s="13"/>
      <c r="P16" s="13"/>
    </row>
    <row r="17" ht="42" customHeight="1" spans="1:16">
      <c r="A17" s="10" t="s">
        <v>152</v>
      </c>
      <c r="B17" s="11">
        <v>324</v>
      </c>
      <c r="C17" s="15" t="s">
        <v>155</v>
      </c>
      <c r="D17" s="13"/>
      <c r="E17" s="13">
        <f t="shared" si="6"/>
        <v>324</v>
      </c>
      <c r="F17" s="13">
        <f t="shared" si="1"/>
        <v>0</v>
      </c>
      <c r="G17" s="13">
        <f t="shared" si="7"/>
        <v>0</v>
      </c>
      <c r="H17" s="14">
        <f t="shared" si="2"/>
        <v>0</v>
      </c>
      <c r="I17" s="13"/>
      <c r="J17" s="13"/>
      <c r="K17" s="13"/>
      <c r="L17" s="13"/>
      <c r="M17" s="13"/>
      <c r="N17" s="13"/>
      <c r="O17" s="13"/>
      <c r="P17" s="13"/>
    </row>
    <row r="18" ht="42" customHeight="1" spans="1:16">
      <c r="A18" s="180" t="s">
        <v>183</v>
      </c>
      <c r="B18" s="11">
        <v>329</v>
      </c>
      <c r="C18" s="15" t="s">
        <v>159</v>
      </c>
      <c r="D18" s="13">
        <v>0</v>
      </c>
      <c r="E18" s="13">
        <f t="shared" si="6"/>
        <v>329</v>
      </c>
      <c r="F18" s="13">
        <f t="shared" si="1"/>
        <v>0</v>
      </c>
      <c r="G18" s="13">
        <f t="shared" si="7"/>
        <v>0</v>
      </c>
      <c r="H18" s="14">
        <f t="shared" si="2"/>
        <v>0</v>
      </c>
      <c r="I18" s="13">
        <v>0</v>
      </c>
      <c r="J18" s="13"/>
      <c r="K18" s="13"/>
      <c r="L18" s="13"/>
      <c r="M18" s="13"/>
      <c r="N18" s="13"/>
      <c r="O18" s="13"/>
      <c r="P18" s="13"/>
    </row>
    <row r="19" ht="42" customHeight="1" spans="1:16">
      <c r="A19" s="180" t="s">
        <v>184</v>
      </c>
      <c r="B19" s="11">
        <v>50</v>
      </c>
      <c r="C19" s="15" t="s">
        <v>161</v>
      </c>
      <c r="D19" s="13">
        <v>0</v>
      </c>
      <c r="E19" s="13">
        <f t="shared" si="6"/>
        <v>50</v>
      </c>
      <c r="F19" s="13">
        <f t="shared" si="1"/>
        <v>0</v>
      </c>
      <c r="G19" s="13">
        <f t="shared" si="7"/>
        <v>0</v>
      </c>
      <c r="H19" s="14">
        <f t="shared" si="2"/>
        <v>0</v>
      </c>
      <c r="I19" s="13"/>
      <c r="J19" s="13"/>
      <c r="K19" s="13"/>
      <c r="L19" s="13"/>
      <c r="M19" s="13"/>
      <c r="N19" s="13"/>
      <c r="O19" s="13"/>
      <c r="P19" s="13">
        <v>0</v>
      </c>
    </row>
    <row r="20" ht="42" customHeight="1" spans="1:16">
      <c r="A20" s="185" t="s">
        <v>185</v>
      </c>
      <c r="B20" s="11">
        <f>B21+B22+B23</f>
        <v>4255</v>
      </c>
      <c r="C20" s="15"/>
      <c r="D20" s="13">
        <f t="shared" ref="D20:P20" si="8">D21+D22+D23</f>
        <v>3192.37</v>
      </c>
      <c r="E20" s="13">
        <f t="shared" si="6"/>
        <v>1062.63</v>
      </c>
      <c r="F20" s="13">
        <f t="shared" si="1"/>
        <v>75.0263219741481</v>
      </c>
      <c r="G20" s="13">
        <f t="shared" si="7"/>
        <v>3192.367096</v>
      </c>
      <c r="H20" s="14">
        <f t="shared" si="2"/>
        <v>2855</v>
      </c>
      <c r="I20" s="13">
        <f t="shared" si="8"/>
        <v>0</v>
      </c>
      <c r="J20" s="13">
        <f t="shared" si="8"/>
        <v>2855</v>
      </c>
      <c r="K20" s="13">
        <f t="shared" si="8"/>
        <v>0</v>
      </c>
      <c r="L20" s="13">
        <f t="shared" si="8"/>
        <v>0</v>
      </c>
      <c r="M20" s="13">
        <f t="shared" si="8"/>
        <v>0</v>
      </c>
      <c r="N20" s="13">
        <f t="shared" si="8"/>
        <v>0</v>
      </c>
      <c r="O20" s="13">
        <f t="shared" si="8"/>
        <v>337.367096</v>
      </c>
      <c r="P20" s="13">
        <f t="shared" si="8"/>
        <v>0</v>
      </c>
    </row>
    <row r="21" ht="42" customHeight="1" spans="1:16">
      <c r="A21" s="10" t="s">
        <v>148</v>
      </c>
      <c r="B21" s="11">
        <v>1329</v>
      </c>
      <c r="C21" s="15" t="s">
        <v>174</v>
      </c>
      <c r="D21" s="13">
        <v>337.37</v>
      </c>
      <c r="E21" s="13">
        <f t="shared" si="6"/>
        <v>991.63</v>
      </c>
      <c r="F21" s="13">
        <f t="shared" si="1"/>
        <v>25.385252069225</v>
      </c>
      <c r="G21" s="13">
        <f t="shared" si="7"/>
        <v>337.367096</v>
      </c>
      <c r="H21" s="14">
        <f t="shared" si="2"/>
        <v>0</v>
      </c>
      <c r="I21" s="13"/>
      <c r="J21" s="13"/>
      <c r="K21" s="13"/>
      <c r="L21" s="13"/>
      <c r="M21" s="13"/>
      <c r="N21" s="13"/>
      <c r="O21" s="13">
        <v>337.367096</v>
      </c>
      <c r="P21" s="13"/>
    </row>
    <row r="22" ht="42" customHeight="1" spans="1:16">
      <c r="A22" s="10" t="s">
        <v>150</v>
      </c>
      <c r="B22" s="11">
        <v>2855</v>
      </c>
      <c r="C22" s="15" t="s">
        <v>175</v>
      </c>
      <c r="D22" s="13">
        <v>2855</v>
      </c>
      <c r="E22" s="13">
        <f t="shared" si="6"/>
        <v>0</v>
      </c>
      <c r="F22" s="13">
        <f t="shared" si="1"/>
        <v>100</v>
      </c>
      <c r="G22" s="13">
        <f t="shared" si="7"/>
        <v>2855</v>
      </c>
      <c r="H22" s="14">
        <f t="shared" si="2"/>
        <v>2855</v>
      </c>
      <c r="I22" s="13"/>
      <c r="J22" s="13">
        <v>2855</v>
      </c>
      <c r="K22" s="13"/>
      <c r="L22" s="13"/>
      <c r="M22" s="13"/>
      <c r="N22" s="13"/>
      <c r="O22" s="13"/>
      <c r="P22" s="13"/>
    </row>
    <row r="23" ht="42" customHeight="1" spans="1:16">
      <c r="A23" s="10" t="s">
        <v>152</v>
      </c>
      <c r="B23" s="11">
        <v>71</v>
      </c>
      <c r="C23" s="15" t="s">
        <v>155</v>
      </c>
      <c r="D23" s="13"/>
      <c r="E23" s="13">
        <f t="shared" si="6"/>
        <v>71</v>
      </c>
      <c r="F23" s="13">
        <f t="shared" si="1"/>
        <v>0</v>
      </c>
      <c r="G23" s="13">
        <f t="shared" si="7"/>
        <v>0</v>
      </c>
      <c r="H23" s="14">
        <f t="shared" si="2"/>
        <v>0</v>
      </c>
      <c r="I23" s="13"/>
      <c r="J23" s="13"/>
      <c r="K23" s="13"/>
      <c r="L23" s="13"/>
      <c r="M23" s="13"/>
      <c r="N23" s="13"/>
      <c r="O23" s="13"/>
      <c r="P23" s="13"/>
    </row>
    <row r="24" ht="42" customHeight="1" spans="1:16">
      <c r="A24" s="188" t="s">
        <v>186</v>
      </c>
      <c r="B24" s="11">
        <f t="shared" ref="B24:P24" si="9">SUM(B25:B29)</f>
        <v>2857.5</v>
      </c>
      <c r="C24" s="189"/>
      <c r="D24" s="13">
        <f t="shared" si="9"/>
        <v>2837.5</v>
      </c>
      <c r="E24" s="13">
        <f t="shared" si="9"/>
        <v>20</v>
      </c>
      <c r="F24" s="13">
        <f t="shared" si="1"/>
        <v>99.3000874890639</v>
      </c>
      <c r="G24" s="13">
        <f t="shared" si="9"/>
        <v>2837.5</v>
      </c>
      <c r="H24" s="14">
        <f t="shared" si="2"/>
        <v>2837.5</v>
      </c>
      <c r="I24" s="13">
        <f t="shared" si="9"/>
        <v>0</v>
      </c>
      <c r="J24" s="13">
        <f t="shared" si="9"/>
        <v>979</v>
      </c>
      <c r="K24" s="13">
        <f t="shared" si="9"/>
        <v>1338.5</v>
      </c>
      <c r="L24" s="13">
        <f t="shared" si="9"/>
        <v>0</v>
      </c>
      <c r="M24" s="13">
        <f t="shared" si="9"/>
        <v>520</v>
      </c>
      <c r="N24" s="13">
        <f t="shared" si="9"/>
        <v>0</v>
      </c>
      <c r="O24" s="13">
        <f t="shared" si="9"/>
        <v>0</v>
      </c>
      <c r="P24" s="13">
        <f t="shared" si="9"/>
        <v>0</v>
      </c>
    </row>
    <row r="25" ht="42" customHeight="1" spans="1:16">
      <c r="A25" s="10" t="s">
        <v>33</v>
      </c>
      <c r="B25" s="11">
        <v>204</v>
      </c>
      <c r="C25" s="15" t="s">
        <v>143</v>
      </c>
      <c r="D25" s="13">
        <v>204</v>
      </c>
      <c r="E25" s="13">
        <f t="shared" ref="E25:E34" si="10">B25-D25</f>
        <v>0</v>
      </c>
      <c r="F25" s="13">
        <f t="shared" si="1"/>
        <v>100</v>
      </c>
      <c r="G25" s="14">
        <f t="shared" ref="G25:G34" si="11">H25+O25+P25</f>
        <v>204</v>
      </c>
      <c r="H25" s="14">
        <f t="shared" si="2"/>
        <v>204</v>
      </c>
      <c r="I25" s="13"/>
      <c r="J25" s="13">
        <v>204</v>
      </c>
      <c r="K25" s="13"/>
      <c r="L25" s="13"/>
      <c r="M25" s="13"/>
      <c r="N25" s="13"/>
      <c r="O25" s="13"/>
      <c r="P25" s="13"/>
    </row>
    <row r="26" ht="42" customHeight="1" spans="1:16">
      <c r="A26" s="10" t="s">
        <v>150</v>
      </c>
      <c r="B26" s="11">
        <v>775</v>
      </c>
      <c r="C26" s="15" t="s">
        <v>143</v>
      </c>
      <c r="D26" s="13">
        <v>775</v>
      </c>
      <c r="E26" s="13">
        <f t="shared" si="10"/>
        <v>0</v>
      </c>
      <c r="F26" s="13">
        <f t="shared" si="1"/>
        <v>100</v>
      </c>
      <c r="G26" s="14">
        <f t="shared" si="11"/>
        <v>775</v>
      </c>
      <c r="H26" s="14">
        <f t="shared" si="2"/>
        <v>775</v>
      </c>
      <c r="I26" s="13"/>
      <c r="J26" s="13">
        <v>775</v>
      </c>
      <c r="K26" s="13"/>
      <c r="L26" s="13"/>
      <c r="M26" s="13"/>
      <c r="N26" s="13"/>
      <c r="O26" s="13"/>
      <c r="P26" s="13"/>
    </row>
    <row r="27" ht="42" customHeight="1" spans="1:16">
      <c r="A27" s="10" t="s">
        <v>37</v>
      </c>
      <c r="B27" s="11">
        <v>520</v>
      </c>
      <c r="C27" s="15" t="s">
        <v>163</v>
      </c>
      <c r="D27" s="13">
        <v>520</v>
      </c>
      <c r="E27" s="13">
        <f t="shared" si="10"/>
        <v>0</v>
      </c>
      <c r="F27" s="13">
        <f t="shared" si="1"/>
        <v>100</v>
      </c>
      <c r="G27" s="14">
        <f t="shared" si="11"/>
        <v>520</v>
      </c>
      <c r="H27" s="14">
        <f t="shared" si="2"/>
        <v>520</v>
      </c>
      <c r="I27" s="13"/>
      <c r="J27" s="13"/>
      <c r="K27" s="13"/>
      <c r="L27" s="13"/>
      <c r="M27" s="13">
        <v>520</v>
      </c>
      <c r="N27" s="13"/>
      <c r="O27" s="13"/>
      <c r="P27" s="13"/>
    </row>
    <row r="28" ht="42" customHeight="1" spans="1:16">
      <c r="A28" s="10" t="s">
        <v>150</v>
      </c>
      <c r="B28" s="11">
        <v>1338.5</v>
      </c>
      <c r="C28" s="15" t="s">
        <v>164</v>
      </c>
      <c r="D28" s="13">
        <v>1338.5</v>
      </c>
      <c r="E28" s="13">
        <f t="shared" si="10"/>
        <v>0</v>
      </c>
      <c r="F28" s="13">
        <f t="shared" si="1"/>
        <v>100</v>
      </c>
      <c r="G28" s="14">
        <f t="shared" si="11"/>
        <v>1338.5</v>
      </c>
      <c r="H28" s="14">
        <f t="shared" si="2"/>
        <v>1338.5</v>
      </c>
      <c r="I28" s="13"/>
      <c r="J28" s="13"/>
      <c r="K28" s="13">
        <v>1338.5</v>
      </c>
      <c r="L28" s="13"/>
      <c r="M28" s="13"/>
      <c r="N28" s="13"/>
      <c r="O28" s="13"/>
      <c r="P28" s="13"/>
    </row>
    <row r="29" ht="42" customHeight="1" spans="1:16">
      <c r="A29" s="10" t="s">
        <v>150</v>
      </c>
      <c r="B29" s="11">
        <v>20</v>
      </c>
      <c r="C29" s="15" t="s">
        <v>187</v>
      </c>
      <c r="D29" s="13"/>
      <c r="E29" s="13">
        <f t="shared" si="10"/>
        <v>20</v>
      </c>
      <c r="F29" s="13">
        <f t="shared" si="1"/>
        <v>0</v>
      </c>
      <c r="G29" s="14">
        <f t="shared" si="11"/>
        <v>0</v>
      </c>
      <c r="H29" s="14">
        <f t="shared" si="2"/>
        <v>0</v>
      </c>
      <c r="I29" s="13"/>
      <c r="J29" s="13"/>
      <c r="K29" s="13"/>
      <c r="L29" s="13"/>
      <c r="M29" s="13"/>
      <c r="N29" s="13"/>
      <c r="O29" s="13"/>
      <c r="P29" s="85"/>
    </row>
    <row r="30" ht="42" customHeight="1" spans="1:16">
      <c r="A30" s="185" t="s">
        <v>188</v>
      </c>
      <c r="B30" s="11">
        <f>B31+B32+B33+B34</f>
        <v>3000</v>
      </c>
      <c r="C30" s="15"/>
      <c r="D30" s="13">
        <f>D31+D32+D33+D34</f>
        <v>1592.838285</v>
      </c>
      <c r="E30" s="13">
        <f t="shared" ref="E30:O30" si="12">E31+E32+E33+E34</f>
        <v>1407.161715</v>
      </c>
      <c r="F30" s="13">
        <f t="shared" si="1"/>
        <v>53.0946095</v>
      </c>
      <c r="G30" s="13">
        <f t="shared" si="12"/>
        <v>1592.838285</v>
      </c>
      <c r="H30" s="14">
        <f t="shared" si="2"/>
        <v>0</v>
      </c>
      <c r="I30" s="13">
        <f t="shared" si="12"/>
        <v>0</v>
      </c>
      <c r="J30" s="13">
        <f t="shared" si="12"/>
        <v>0</v>
      </c>
      <c r="K30" s="13">
        <f t="shared" si="12"/>
        <v>0</v>
      </c>
      <c r="L30" s="13">
        <f t="shared" si="12"/>
        <v>0</v>
      </c>
      <c r="M30" s="13">
        <f t="shared" si="12"/>
        <v>0</v>
      </c>
      <c r="N30" s="13">
        <f t="shared" si="12"/>
        <v>0</v>
      </c>
      <c r="O30" s="13">
        <f t="shared" si="12"/>
        <v>1592.838285</v>
      </c>
      <c r="P30" s="13"/>
    </row>
    <row r="31" ht="42" customHeight="1" spans="1:16">
      <c r="A31" s="10" t="s">
        <v>150</v>
      </c>
      <c r="B31" s="11">
        <v>20</v>
      </c>
      <c r="C31" s="15" t="s">
        <v>176</v>
      </c>
      <c r="D31" s="13"/>
      <c r="E31" s="13">
        <f t="shared" si="10"/>
        <v>20</v>
      </c>
      <c r="F31" s="13">
        <f t="shared" si="1"/>
        <v>0</v>
      </c>
      <c r="G31" s="14">
        <f>H31+O31+P31</f>
        <v>0</v>
      </c>
      <c r="H31" s="14">
        <f t="shared" si="2"/>
        <v>0</v>
      </c>
      <c r="I31" s="13"/>
      <c r="J31" s="13"/>
      <c r="K31" s="13"/>
      <c r="L31" s="13"/>
      <c r="M31" s="13"/>
      <c r="N31" s="13"/>
      <c r="O31" s="13"/>
      <c r="P31" s="13"/>
    </row>
    <row r="32" ht="42" customHeight="1" spans="1:16">
      <c r="A32" s="10" t="s">
        <v>35</v>
      </c>
      <c r="B32" s="11">
        <v>1000</v>
      </c>
      <c r="C32" s="15" t="s">
        <v>177</v>
      </c>
      <c r="D32" s="13"/>
      <c r="E32" s="13">
        <f t="shared" si="10"/>
        <v>1000</v>
      </c>
      <c r="F32" s="13">
        <f t="shared" si="1"/>
        <v>0</v>
      </c>
      <c r="G32" s="14">
        <f t="shared" si="11"/>
        <v>0</v>
      </c>
      <c r="H32" s="14">
        <f t="shared" si="2"/>
        <v>0</v>
      </c>
      <c r="I32" s="13"/>
      <c r="J32" s="13"/>
      <c r="K32" s="13"/>
      <c r="L32" s="13"/>
      <c r="M32" s="13"/>
      <c r="N32" s="13"/>
      <c r="O32" s="13"/>
      <c r="P32" s="13"/>
    </row>
    <row r="33" ht="42" customHeight="1" spans="1:16">
      <c r="A33" s="10" t="s">
        <v>148</v>
      </c>
      <c r="B33" s="11">
        <v>1680</v>
      </c>
      <c r="C33" s="15" t="s">
        <v>174</v>
      </c>
      <c r="D33" s="13">
        <v>1592.838285</v>
      </c>
      <c r="E33" s="13">
        <f t="shared" si="10"/>
        <v>87.161715</v>
      </c>
      <c r="F33" s="13">
        <f t="shared" si="1"/>
        <v>94.8118026785714</v>
      </c>
      <c r="G33" s="14">
        <f t="shared" si="11"/>
        <v>1592.838285</v>
      </c>
      <c r="H33" s="14">
        <f t="shared" si="2"/>
        <v>0</v>
      </c>
      <c r="I33" s="13"/>
      <c r="J33" s="13"/>
      <c r="K33" s="13"/>
      <c r="L33" s="13"/>
      <c r="M33" s="13"/>
      <c r="N33" s="13"/>
      <c r="O33" s="13">
        <v>1592.838285</v>
      </c>
      <c r="P33" s="13"/>
    </row>
    <row r="34" ht="42" customHeight="1" spans="1:16">
      <c r="A34" s="10" t="s">
        <v>36</v>
      </c>
      <c r="B34" s="11">
        <v>300</v>
      </c>
      <c r="C34" s="15" t="s">
        <v>178</v>
      </c>
      <c r="D34" s="13"/>
      <c r="E34" s="13">
        <f t="shared" si="10"/>
        <v>300</v>
      </c>
      <c r="F34" s="13">
        <f t="shared" si="1"/>
        <v>0</v>
      </c>
      <c r="G34" s="14">
        <f t="shared" si="11"/>
        <v>0</v>
      </c>
      <c r="H34" s="14">
        <f t="shared" si="2"/>
        <v>0</v>
      </c>
      <c r="I34" s="13"/>
      <c r="J34" s="13"/>
      <c r="K34" s="13"/>
      <c r="L34" s="13"/>
      <c r="M34" s="13"/>
      <c r="N34" s="13"/>
      <c r="O34" s="13"/>
      <c r="P34" s="13"/>
    </row>
    <row r="35" ht="42" customHeight="1" spans="1:16">
      <c r="A35" s="205" t="s">
        <v>102</v>
      </c>
      <c r="B35" s="11">
        <f>B36+B42</f>
        <v>3000</v>
      </c>
      <c r="C35" s="11">
        <f t="shared" ref="C35:P35" si="13">C36+C42</f>
        <v>0</v>
      </c>
      <c r="D35" s="11">
        <f t="shared" si="13"/>
        <v>1271.6</v>
      </c>
      <c r="E35" s="11">
        <f t="shared" si="13"/>
        <v>1728.4</v>
      </c>
      <c r="F35" s="13">
        <f t="shared" si="1"/>
        <v>42.3866666666667</v>
      </c>
      <c r="G35" s="11">
        <f t="shared" si="13"/>
        <v>1271.6</v>
      </c>
      <c r="H35" s="14">
        <f t="shared" si="2"/>
        <v>1271.6</v>
      </c>
      <c r="I35" s="11">
        <f t="shared" si="13"/>
        <v>0</v>
      </c>
      <c r="J35" s="11">
        <f t="shared" si="13"/>
        <v>901.6</v>
      </c>
      <c r="K35" s="11">
        <f t="shared" si="13"/>
        <v>340</v>
      </c>
      <c r="L35" s="11">
        <f t="shared" si="13"/>
        <v>0</v>
      </c>
      <c r="M35" s="11">
        <f t="shared" si="13"/>
        <v>30</v>
      </c>
      <c r="N35" s="11">
        <f t="shared" si="13"/>
        <v>0</v>
      </c>
      <c r="O35" s="11">
        <f t="shared" si="13"/>
        <v>0</v>
      </c>
      <c r="P35" s="11">
        <f t="shared" si="13"/>
        <v>0</v>
      </c>
    </row>
    <row r="36" ht="42" customHeight="1" spans="1:16">
      <c r="A36" s="180" t="s">
        <v>189</v>
      </c>
      <c r="B36" s="11">
        <f>SUM(B37:B41)</f>
        <v>2350</v>
      </c>
      <c r="C36" s="11">
        <f>SUM(C37:C41)</f>
        <v>0</v>
      </c>
      <c r="D36" s="11">
        <f>SUM(D37:D41)</f>
        <v>1271.6</v>
      </c>
      <c r="E36" s="11">
        <f>SUM(E37:E41)</f>
        <v>1078.4</v>
      </c>
      <c r="F36" s="13">
        <f t="shared" si="1"/>
        <v>54.1106382978723</v>
      </c>
      <c r="G36" s="11">
        <f t="shared" ref="F36:P36" si="14">SUM(G37:G41)</f>
        <v>1271.6</v>
      </c>
      <c r="H36" s="14">
        <f t="shared" si="2"/>
        <v>1271.6</v>
      </c>
      <c r="I36" s="11">
        <f t="shared" si="14"/>
        <v>0</v>
      </c>
      <c r="J36" s="11">
        <f t="shared" si="14"/>
        <v>901.6</v>
      </c>
      <c r="K36" s="11">
        <f t="shared" si="14"/>
        <v>340</v>
      </c>
      <c r="L36" s="11">
        <f t="shared" si="14"/>
        <v>0</v>
      </c>
      <c r="M36" s="11">
        <f t="shared" si="14"/>
        <v>30</v>
      </c>
      <c r="N36" s="11">
        <f t="shared" si="14"/>
        <v>0</v>
      </c>
      <c r="O36" s="11">
        <f t="shared" si="14"/>
        <v>0</v>
      </c>
      <c r="P36" s="11">
        <f t="shared" si="14"/>
        <v>0</v>
      </c>
    </row>
    <row r="37" ht="42" customHeight="1" spans="1:16">
      <c r="A37" s="10" t="s">
        <v>150</v>
      </c>
      <c r="B37" s="11">
        <v>1020</v>
      </c>
      <c r="C37" s="12" t="s">
        <v>167</v>
      </c>
      <c r="D37" s="13">
        <v>901.6</v>
      </c>
      <c r="E37" s="13">
        <f t="shared" ref="E37:E42" si="15">B37-D37</f>
        <v>118.4</v>
      </c>
      <c r="F37" s="13">
        <f t="shared" si="1"/>
        <v>88.3921568627451</v>
      </c>
      <c r="G37" s="14">
        <f t="shared" ref="G37:G41" si="16">H37+O37+P37</f>
        <v>901.6</v>
      </c>
      <c r="H37" s="14">
        <f t="shared" si="2"/>
        <v>901.6</v>
      </c>
      <c r="I37" s="13">
        <v>0</v>
      </c>
      <c r="J37" s="13">
        <v>901.6</v>
      </c>
      <c r="K37" s="13"/>
      <c r="L37" s="13"/>
      <c r="M37" s="13"/>
      <c r="N37" s="13"/>
      <c r="O37" s="13"/>
      <c r="P37" s="13"/>
    </row>
    <row r="38" ht="42" customHeight="1" spans="1:16">
      <c r="A38" s="10" t="s">
        <v>37</v>
      </c>
      <c r="B38" s="11">
        <v>100</v>
      </c>
      <c r="C38" s="15" t="s">
        <v>168</v>
      </c>
      <c r="D38" s="13">
        <v>0</v>
      </c>
      <c r="E38" s="13">
        <f t="shared" si="15"/>
        <v>100</v>
      </c>
      <c r="F38" s="13">
        <f t="shared" si="1"/>
        <v>0</v>
      </c>
      <c r="G38" s="14">
        <f t="shared" si="16"/>
        <v>0</v>
      </c>
      <c r="H38" s="14">
        <f t="shared" si="2"/>
        <v>0</v>
      </c>
      <c r="I38" s="13">
        <v>0</v>
      </c>
      <c r="J38" s="13"/>
      <c r="K38" s="13"/>
      <c r="L38" s="13"/>
      <c r="M38" s="13"/>
      <c r="N38" s="13"/>
      <c r="O38" s="13"/>
      <c r="P38" s="13"/>
    </row>
    <row r="39" ht="42" customHeight="1" spans="1:16">
      <c r="A39" s="10" t="s">
        <v>150</v>
      </c>
      <c r="B39" s="11">
        <v>400</v>
      </c>
      <c r="C39" s="12" t="s">
        <v>164</v>
      </c>
      <c r="D39" s="13">
        <v>340</v>
      </c>
      <c r="E39" s="13">
        <f t="shared" si="15"/>
        <v>60</v>
      </c>
      <c r="F39" s="13">
        <f t="shared" ref="F39:F62" si="17">D39/B39*100</f>
        <v>85</v>
      </c>
      <c r="G39" s="14">
        <f t="shared" si="16"/>
        <v>340</v>
      </c>
      <c r="H39" s="14">
        <f t="shared" si="2"/>
        <v>340</v>
      </c>
      <c r="I39" s="13"/>
      <c r="J39" s="13"/>
      <c r="K39" s="13">
        <v>340</v>
      </c>
      <c r="L39" s="13"/>
      <c r="M39" s="13"/>
      <c r="N39" s="13"/>
      <c r="O39" s="13"/>
      <c r="P39" s="13"/>
    </row>
    <row r="40" ht="42" customHeight="1" spans="1:16">
      <c r="A40" s="10" t="s">
        <v>37</v>
      </c>
      <c r="B40" s="11">
        <v>780</v>
      </c>
      <c r="C40" s="15" t="s">
        <v>163</v>
      </c>
      <c r="D40" s="13">
        <v>30</v>
      </c>
      <c r="E40" s="13">
        <f t="shared" si="15"/>
        <v>750</v>
      </c>
      <c r="F40" s="13">
        <f t="shared" si="17"/>
        <v>3.84615384615385</v>
      </c>
      <c r="G40" s="14">
        <f t="shared" si="16"/>
        <v>30</v>
      </c>
      <c r="H40" s="14">
        <f t="shared" si="2"/>
        <v>30</v>
      </c>
      <c r="I40" s="13"/>
      <c r="J40" s="13"/>
      <c r="K40" s="13"/>
      <c r="L40" s="13">
        <v>0</v>
      </c>
      <c r="M40" s="13">
        <v>30</v>
      </c>
      <c r="N40" s="13"/>
      <c r="O40" s="13"/>
      <c r="P40" s="13"/>
    </row>
    <row r="41" ht="42" customHeight="1" spans="1:16">
      <c r="A41" s="10" t="s">
        <v>150</v>
      </c>
      <c r="B41" s="11">
        <v>50</v>
      </c>
      <c r="C41" s="15" t="s">
        <v>169</v>
      </c>
      <c r="D41" s="13"/>
      <c r="E41" s="13">
        <f t="shared" ref="E41:E48" si="18">B41-D41</f>
        <v>50</v>
      </c>
      <c r="F41" s="13">
        <f t="shared" si="17"/>
        <v>0</v>
      </c>
      <c r="G41" s="14">
        <f t="shared" ref="G41:G48" si="19">H41+O41+P41</f>
        <v>0</v>
      </c>
      <c r="H41" s="14">
        <f t="shared" si="2"/>
        <v>0</v>
      </c>
      <c r="I41" s="13">
        <v>0</v>
      </c>
      <c r="J41" s="13"/>
      <c r="K41" s="13"/>
      <c r="L41" s="13"/>
      <c r="M41" s="13"/>
      <c r="N41" s="13"/>
      <c r="O41" s="13"/>
      <c r="P41" s="13"/>
    </row>
    <row r="42" ht="42" customHeight="1" spans="1:16">
      <c r="A42" s="180" t="s">
        <v>190</v>
      </c>
      <c r="B42" s="11">
        <f>SUM(B43:B47)</f>
        <v>650</v>
      </c>
      <c r="C42" s="11">
        <f t="shared" ref="C42:P42" si="20">SUM(C43:C47)</f>
        <v>0</v>
      </c>
      <c r="D42" s="13">
        <f t="shared" si="20"/>
        <v>0</v>
      </c>
      <c r="E42" s="13">
        <f t="shared" si="18"/>
        <v>650</v>
      </c>
      <c r="F42" s="13">
        <f t="shared" si="17"/>
        <v>0</v>
      </c>
      <c r="G42" s="14">
        <f t="shared" si="19"/>
        <v>0</v>
      </c>
      <c r="H42" s="14">
        <f t="shared" si="2"/>
        <v>0</v>
      </c>
      <c r="I42" s="11">
        <f t="shared" si="20"/>
        <v>0</v>
      </c>
      <c r="J42" s="11">
        <f t="shared" si="20"/>
        <v>0</v>
      </c>
      <c r="K42" s="11">
        <f t="shared" si="20"/>
        <v>0</v>
      </c>
      <c r="L42" s="11">
        <f t="shared" si="20"/>
        <v>0</v>
      </c>
      <c r="M42" s="11">
        <f t="shared" si="20"/>
        <v>0</v>
      </c>
      <c r="N42" s="11">
        <f t="shared" si="20"/>
        <v>0</v>
      </c>
      <c r="O42" s="11">
        <f t="shared" si="20"/>
        <v>0</v>
      </c>
      <c r="P42" s="11">
        <f t="shared" si="20"/>
        <v>0</v>
      </c>
    </row>
    <row r="43" ht="42" customHeight="1" spans="1:16">
      <c r="A43" s="10" t="s">
        <v>191</v>
      </c>
      <c r="B43" s="11">
        <v>150</v>
      </c>
      <c r="C43" s="15" t="s">
        <v>192</v>
      </c>
      <c r="D43" s="13"/>
      <c r="E43" s="13">
        <f t="shared" si="18"/>
        <v>150</v>
      </c>
      <c r="F43" s="13">
        <f t="shared" si="17"/>
        <v>0</v>
      </c>
      <c r="G43" s="14">
        <f t="shared" si="19"/>
        <v>0</v>
      </c>
      <c r="H43" s="14">
        <f t="shared" si="2"/>
        <v>0</v>
      </c>
      <c r="I43" s="13"/>
      <c r="J43" s="13"/>
      <c r="K43" s="13"/>
      <c r="L43" s="13"/>
      <c r="M43" s="13"/>
      <c r="N43" s="13"/>
      <c r="O43" s="13"/>
      <c r="P43" s="13"/>
    </row>
    <row r="44" ht="42" customHeight="1" spans="1:16">
      <c r="A44" s="10" t="s">
        <v>150</v>
      </c>
      <c r="B44" s="11">
        <v>140</v>
      </c>
      <c r="C44" s="15" t="s">
        <v>193</v>
      </c>
      <c r="D44" s="13"/>
      <c r="E44" s="13">
        <f t="shared" si="18"/>
        <v>140</v>
      </c>
      <c r="F44" s="13">
        <f t="shared" si="17"/>
        <v>0</v>
      </c>
      <c r="G44" s="14">
        <f t="shared" si="19"/>
        <v>0</v>
      </c>
      <c r="H44" s="14">
        <f t="shared" si="2"/>
        <v>0</v>
      </c>
      <c r="I44" s="13"/>
      <c r="J44" s="13"/>
      <c r="K44" s="13"/>
      <c r="L44" s="13"/>
      <c r="M44" s="13"/>
      <c r="N44" s="13"/>
      <c r="O44" s="13"/>
      <c r="P44" s="13"/>
    </row>
    <row r="45" ht="42" customHeight="1" spans="1:16">
      <c r="A45" s="10" t="s">
        <v>150</v>
      </c>
      <c r="B45" s="11">
        <v>100</v>
      </c>
      <c r="C45" s="15" t="s">
        <v>194</v>
      </c>
      <c r="D45" s="13"/>
      <c r="E45" s="13">
        <f t="shared" si="18"/>
        <v>100</v>
      </c>
      <c r="F45" s="13">
        <f t="shared" si="17"/>
        <v>0</v>
      </c>
      <c r="G45" s="14">
        <f t="shared" si="19"/>
        <v>0</v>
      </c>
      <c r="H45" s="14">
        <f t="shared" si="2"/>
        <v>0</v>
      </c>
      <c r="I45" s="13"/>
      <c r="J45" s="13"/>
      <c r="K45" s="13"/>
      <c r="L45" s="13"/>
      <c r="M45" s="13"/>
      <c r="N45" s="13"/>
      <c r="O45" s="13"/>
      <c r="P45" s="13"/>
    </row>
    <row r="46" ht="42" customHeight="1" spans="1:16">
      <c r="A46" s="10" t="s">
        <v>195</v>
      </c>
      <c r="B46" s="11">
        <v>100</v>
      </c>
      <c r="C46" s="15" t="s">
        <v>196</v>
      </c>
      <c r="D46" s="13"/>
      <c r="E46" s="13">
        <f t="shared" si="18"/>
        <v>100</v>
      </c>
      <c r="F46" s="13">
        <f t="shared" si="17"/>
        <v>0</v>
      </c>
      <c r="G46" s="14">
        <f t="shared" si="19"/>
        <v>0</v>
      </c>
      <c r="H46" s="14">
        <f t="shared" si="2"/>
        <v>0</v>
      </c>
      <c r="I46" s="13"/>
      <c r="J46" s="13"/>
      <c r="K46" s="13"/>
      <c r="L46" s="13"/>
      <c r="M46" s="13"/>
      <c r="N46" s="13"/>
      <c r="O46" s="13"/>
      <c r="P46" s="13"/>
    </row>
    <row r="47" ht="42" customHeight="1" spans="1:16">
      <c r="A47" s="10" t="s">
        <v>197</v>
      </c>
      <c r="B47" s="11">
        <v>160</v>
      </c>
      <c r="C47" s="15" t="s">
        <v>198</v>
      </c>
      <c r="D47" s="13"/>
      <c r="E47" s="13">
        <f t="shared" si="18"/>
        <v>160</v>
      </c>
      <c r="F47" s="13">
        <f t="shared" si="17"/>
        <v>0</v>
      </c>
      <c r="G47" s="14">
        <f t="shared" si="19"/>
        <v>0</v>
      </c>
      <c r="H47" s="14">
        <f t="shared" si="2"/>
        <v>0</v>
      </c>
      <c r="I47" s="13"/>
      <c r="J47" s="13"/>
      <c r="K47" s="13"/>
      <c r="L47" s="13"/>
      <c r="M47" s="13"/>
      <c r="N47" s="13"/>
      <c r="O47" s="13"/>
      <c r="P47" s="13"/>
    </row>
    <row r="48" ht="57" customHeight="1" spans="1:16">
      <c r="A48" s="206" t="s">
        <v>27</v>
      </c>
      <c r="B48" s="177">
        <f>B35+B6</f>
        <v>25351.5</v>
      </c>
      <c r="C48" s="177">
        <f>C35+C6</f>
        <v>0</v>
      </c>
      <c r="D48" s="178">
        <f>D35+D6</f>
        <v>17259.488285</v>
      </c>
      <c r="E48" s="178">
        <f t="shared" ref="E48:P48" si="21">E35+E6</f>
        <v>8092.011715</v>
      </c>
      <c r="F48" s="178">
        <f t="shared" si="17"/>
        <v>68.080737964223</v>
      </c>
      <c r="G48" s="178">
        <f t="shared" si="21"/>
        <v>17259.488011</v>
      </c>
      <c r="H48" s="178">
        <f t="shared" si="21"/>
        <v>15145.04163</v>
      </c>
      <c r="I48" s="178">
        <f t="shared" si="21"/>
        <v>4615.9</v>
      </c>
      <c r="J48" s="178">
        <f t="shared" si="21"/>
        <v>7404.6</v>
      </c>
      <c r="K48" s="178">
        <f t="shared" si="21"/>
        <v>1678.5</v>
      </c>
      <c r="L48" s="178">
        <f t="shared" si="21"/>
        <v>191.7</v>
      </c>
      <c r="M48" s="178">
        <f t="shared" si="21"/>
        <v>550</v>
      </c>
      <c r="N48" s="178">
        <f t="shared" si="21"/>
        <v>704.34163</v>
      </c>
      <c r="O48" s="178">
        <f t="shared" si="21"/>
        <v>2098.205381</v>
      </c>
      <c r="P48" s="178">
        <f t="shared" si="21"/>
        <v>16.241</v>
      </c>
    </row>
    <row r="49" ht="40" customHeight="1" spans="1:16">
      <c r="A49" s="203" t="s">
        <v>170</v>
      </c>
      <c r="B49" s="208">
        <f>SUM(B50:B62)</f>
        <v>25351.5</v>
      </c>
      <c r="C49" s="178"/>
      <c r="D49" s="178">
        <f t="shared" ref="C49:P49" si="22">SUM(D50:D62)</f>
        <v>17259.488285</v>
      </c>
      <c r="E49" s="178">
        <f t="shared" si="22"/>
        <v>8092.011715</v>
      </c>
      <c r="F49" s="178">
        <f t="shared" si="17"/>
        <v>68.080737964223</v>
      </c>
      <c r="G49" s="178">
        <f t="shared" si="22"/>
        <v>17259.488011</v>
      </c>
      <c r="H49" s="178">
        <f t="shared" si="22"/>
        <v>15145.04163</v>
      </c>
      <c r="I49" s="178">
        <f t="shared" si="22"/>
        <v>4615.9</v>
      </c>
      <c r="J49" s="178">
        <f t="shared" si="22"/>
        <v>7404.6</v>
      </c>
      <c r="K49" s="178">
        <f t="shared" si="22"/>
        <v>1678.5</v>
      </c>
      <c r="L49" s="178">
        <f t="shared" si="22"/>
        <v>191.7</v>
      </c>
      <c r="M49" s="178">
        <f t="shared" si="22"/>
        <v>550</v>
      </c>
      <c r="N49" s="178">
        <f t="shared" si="22"/>
        <v>704.34163</v>
      </c>
      <c r="O49" s="178">
        <f t="shared" si="22"/>
        <v>2098.205381</v>
      </c>
      <c r="P49" s="178">
        <f t="shared" si="22"/>
        <v>16.241</v>
      </c>
    </row>
    <row r="50" ht="40" customHeight="1" spans="1:16">
      <c r="A50" s="10" t="s">
        <v>148</v>
      </c>
      <c r="B50" s="13">
        <f>B9+B21+B33</f>
        <v>3177</v>
      </c>
      <c r="C50" s="13"/>
      <c r="D50" s="13">
        <f t="shared" ref="C50:P50" si="23">D9+D21+D33</f>
        <v>2098.208285</v>
      </c>
      <c r="E50" s="13">
        <f t="shared" si="23"/>
        <v>1078.791715</v>
      </c>
      <c r="F50" s="13">
        <f t="shared" si="17"/>
        <v>66.0436979855209</v>
      </c>
      <c r="G50" s="13">
        <f t="shared" si="23"/>
        <v>2098.205381</v>
      </c>
      <c r="H50" s="13">
        <f t="shared" si="23"/>
        <v>0</v>
      </c>
      <c r="I50" s="13">
        <f t="shared" si="23"/>
        <v>0</v>
      </c>
      <c r="J50" s="13">
        <f t="shared" si="23"/>
        <v>0</v>
      </c>
      <c r="K50" s="13">
        <f t="shared" si="23"/>
        <v>0</v>
      </c>
      <c r="L50" s="13">
        <f t="shared" si="23"/>
        <v>0</v>
      </c>
      <c r="M50" s="13">
        <f t="shared" si="23"/>
        <v>0</v>
      </c>
      <c r="N50" s="13">
        <f t="shared" si="23"/>
        <v>0</v>
      </c>
      <c r="O50" s="13">
        <f t="shared" si="23"/>
        <v>2098.205381</v>
      </c>
      <c r="P50" s="13">
        <f t="shared" si="23"/>
        <v>0</v>
      </c>
    </row>
    <row r="51" ht="40" customHeight="1" spans="1:16">
      <c r="A51" s="10" t="s">
        <v>150</v>
      </c>
      <c r="B51" s="13">
        <f>B10+B16+B22+B29+B31+B44+B45+B26+B28+B37+B39+B41</f>
        <v>11849.5</v>
      </c>
      <c r="C51" s="13"/>
      <c r="D51" s="13">
        <f t="shared" ref="C51:P51" si="24">D10+D16+D22+D29+D31+D44+D45+D26+D28+D37+D39+D41</f>
        <v>10826</v>
      </c>
      <c r="E51" s="13">
        <f t="shared" si="24"/>
        <v>1023.5</v>
      </c>
      <c r="F51" s="13">
        <f t="shared" si="17"/>
        <v>91.3625047470357</v>
      </c>
      <c r="G51" s="13">
        <f t="shared" si="24"/>
        <v>10826</v>
      </c>
      <c r="H51" s="13">
        <f t="shared" si="24"/>
        <v>10826</v>
      </c>
      <c r="I51" s="13">
        <f t="shared" si="24"/>
        <v>4615.9</v>
      </c>
      <c r="J51" s="13">
        <f t="shared" si="24"/>
        <v>4531.6</v>
      </c>
      <c r="K51" s="13">
        <f t="shared" si="24"/>
        <v>1678.5</v>
      </c>
      <c r="L51" s="13">
        <f t="shared" si="24"/>
        <v>0</v>
      </c>
      <c r="M51" s="13">
        <f t="shared" si="24"/>
        <v>0</v>
      </c>
      <c r="N51" s="13">
        <f t="shared" si="24"/>
        <v>0</v>
      </c>
      <c r="O51" s="13">
        <f t="shared" si="24"/>
        <v>0</v>
      </c>
      <c r="P51" s="13">
        <f t="shared" si="24"/>
        <v>0</v>
      </c>
    </row>
    <row r="52" ht="40" customHeight="1" spans="1:16">
      <c r="A52" s="10" t="s">
        <v>152</v>
      </c>
      <c r="B52" s="13">
        <f>B11+B17+B23</f>
        <v>2453</v>
      </c>
      <c r="C52" s="13"/>
      <c r="D52" s="13">
        <f t="shared" ref="C52:P52" si="25">D11+D17+D23</f>
        <v>0</v>
      </c>
      <c r="E52" s="13">
        <f t="shared" si="25"/>
        <v>2453</v>
      </c>
      <c r="F52" s="13">
        <f t="shared" si="17"/>
        <v>0</v>
      </c>
      <c r="G52" s="13">
        <f t="shared" si="25"/>
        <v>0</v>
      </c>
      <c r="H52" s="13">
        <f t="shared" si="25"/>
        <v>0</v>
      </c>
      <c r="I52" s="13">
        <f t="shared" si="25"/>
        <v>0</v>
      </c>
      <c r="J52" s="13">
        <f t="shared" si="25"/>
        <v>0</v>
      </c>
      <c r="K52" s="13">
        <f t="shared" si="25"/>
        <v>0</v>
      </c>
      <c r="L52" s="13">
        <f t="shared" si="25"/>
        <v>0</v>
      </c>
      <c r="M52" s="13">
        <f t="shared" si="25"/>
        <v>0</v>
      </c>
      <c r="N52" s="13">
        <f t="shared" si="25"/>
        <v>0</v>
      </c>
      <c r="O52" s="13">
        <f t="shared" si="25"/>
        <v>0</v>
      </c>
      <c r="P52" s="13">
        <f t="shared" si="25"/>
        <v>0</v>
      </c>
    </row>
    <row r="53" ht="40" customHeight="1" spans="1:16">
      <c r="A53" s="10" t="s">
        <v>154</v>
      </c>
      <c r="B53" s="13">
        <f>B12</f>
        <v>567</v>
      </c>
      <c r="C53" s="13"/>
      <c r="D53" s="13">
        <f t="shared" ref="C53:P53" si="26">D12</f>
        <v>567</v>
      </c>
      <c r="E53" s="13">
        <f t="shared" si="26"/>
        <v>0</v>
      </c>
      <c r="F53" s="13">
        <f t="shared" si="17"/>
        <v>100</v>
      </c>
      <c r="G53" s="13">
        <f t="shared" si="26"/>
        <v>567</v>
      </c>
      <c r="H53" s="13">
        <f t="shared" si="26"/>
        <v>567</v>
      </c>
      <c r="I53" s="13">
        <f t="shared" si="26"/>
        <v>0</v>
      </c>
      <c r="J53" s="13">
        <f t="shared" si="26"/>
        <v>0</v>
      </c>
      <c r="K53" s="13">
        <f t="shared" si="26"/>
        <v>0</v>
      </c>
      <c r="L53" s="13">
        <f t="shared" si="26"/>
        <v>0</v>
      </c>
      <c r="M53" s="13">
        <f t="shared" si="26"/>
        <v>0</v>
      </c>
      <c r="N53" s="13">
        <f t="shared" si="26"/>
        <v>567</v>
      </c>
      <c r="O53" s="13">
        <f t="shared" si="26"/>
        <v>0</v>
      </c>
      <c r="P53" s="13">
        <f t="shared" si="26"/>
        <v>0</v>
      </c>
    </row>
    <row r="54" ht="40" customHeight="1" spans="1:16">
      <c r="A54" s="10" t="s">
        <v>36</v>
      </c>
      <c r="B54" s="13">
        <f>B13+B34</f>
        <v>856</v>
      </c>
      <c r="C54" s="13"/>
      <c r="D54" s="13">
        <f t="shared" ref="C54:P54" si="27">D13+D34</f>
        <v>249.59</v>
      </c>
      <c r="E54" s="13">
        <f t="shared" si="27"/>
        <v>606.41</v>
      </c>
      <c r="F54" s="13">
        <f t="shared" si="17"/>
        <v>29.1577102803738</v>
      </c>
      <c r="G54" s="13">
        <f t="shared" si="27"/>
        <v>249.59388</v>
      </c>
      <c r="H54" s="13">
        <f t="shared" si="27"/>
        <v>233.35288</v>
      </c>
      <c r="I54" s="13">
        <f t="shared" si="27"/>
        <v>0</v>
      </c>
      <c r="J54" s="13">
        <f t="shared" si="27"/>
        <v>0</v>
      </c>
      <c r="K54" s="13">
        <f t="shared" si="27"/>
        <v>0</v>
      </c>
      <c r="L54" s="13">
        <f t="shared" si="27"/>
        <v>191.7</v>
      </c>
      <c r="M54" s="13">
        <f t="shared" si="27"/>
        <v>0</v>
      </c>
      <c r="N54" s="13">
        <f t="shared" si="27"/>
        <v>41.65288</v>
      </c>
      <c r="O54" s="13">
        <f t="shared" si="27"/>
        <v>0</v>
      </c>
      <c r="P54" s="13">
        <f t="shared" si="27"/>
        <v>16.241</v>
      </c>
    </row>
    <row r="55" ht="40" customHeight="1" spans="1:16">
      <c r="A55" s="10" t="s">
        <v>33</v>
      </c>
      <c r="B55" s="13">
        <f>B14+B25</f>
        <v>3260</v>
      </c>
      <c r="C55" s="13"/>
      <c r="D55" s="13">
        <f t="shared" ref="C55:P55" si="28">D14+D25</f>
        <v>2968.69</v>
      </c>
      <c r="E55" s="13">
        <f t="shared" si="28"/>
        <v>291.31</v>
      </c>
      <c r="F55" s="13">
        <f t="shared" si="17"/>
        <v>91.0641104294479</v>
      </c>
      <c r="G55" s="13">
        <f t="shared" si="28"/>
        <v>2968.68875</v>
      </c>
      <c r="H55" s="13">
        <f t="shared" si="28"/>
        <v>2968.68875</v>
      </c>
      <c r="I55" s="13">
        <f t="shared" si="28"/>
        <v>0</v>
      </c>
      <c r="J55" s="13">
        <f t="shared" si="28"/>
        <v>2873</v>
      </c>
      <c r="K55" s="13">
        <f t="shared" si="28"/>
        <v>0</v>
      </c>
      <c r="L55" s="13">
        <f t="shared" si="28"/>
        <v>0</v>
      </c>
      <c r="M55" s="13">
        <f t="shared" si="28"/>
        <v>0</v>
      </c>
      <c r="N55" s="13">
        <f t="shared" si="28"/>
        <v>95.68875</v>
      </c>
      <c r="O55" s="13">
        <f t="shared" si="28"/>
        <v>0</v>
      </c>
      <c r="P55" s="13">
        <f t="shared" si="28"/>
        <v>0</v>
      </c>
    </row>
    <row r="56" ht="40" customHeight="1" spans="1:16">
      <c r="A56" s="10" t="s">
        <v>56</v>
      </c>
      <c r="B56" s="13">
        <f>B18</f>
        <v>329</v>
      </c>
      <c r="C56" s="13"/>
      <c r="D56" s="13">
        <f t="shared" ref="C56:P56" si="29">D18</f>
        <v>0</v>
      </c>
      <c r="E56" s="13">
        <f t="shared" si="29"/>
        <v>329</v>
      </c>
      <c r="F56" s="13">
        <f t="shared" si="17"/>
        <v>0</v>
      </c>
      <c r="G56" s="13">
        <f t="shared" si="29"/>
        <v>0</v>
      </c>
      <c r="H56" s="13">
        <f t="shared" si="29"/>
        <v>0</v>
      </c>
      <c r="I56" s="13">
        <f t="shared" si="29"/>
        <v>0</v>
      </c>
      <c r="J56" s="13">
        <f t="shared" si="29"/>
        <v>0</v>
      </c>
      <c r="K56" s="13">
        <f t="shared" si="29"/>
        <v>0</v>
      </c>
      <c r="L56" s="13">
        <f t="shared" si="29"/>
        <v>0</v>
      </c>
      <c r="M56" s="13">
        <f t="shared" si="29"/>
        <v>0</v>
      </c>
      <c r="N56" s="13">
        <f t="shared" si="29"/>
        <v>0</v>
      </c>
      <c r="O56" s="13">
        <f t="shared" si="29"/>
        <v>0</v>
      </c>
      <c r="P56" s="13">
        <f t="shared" si="29"/>
        <v>0</v>
      </c>
    </row>
    <row r="57" ht="40" customHeight="1" spans="1:16">
      <c r="A57" s="10" t="s">
        <v>199</v>
      </c>
      <c r="B57" s="13">
        <f>B19</f>
        <v>50</v>
      </c>
      <c r="C57" s="13"/>
      <c r="D57" s="13">
        <f t="shared" ref="C57:P57" si="30">D19</f>
        <v>0</v>
      </c>
      <c r="E57" s="13">
        <f t="shared" si="30"/>
        <v>50</v>
      </c>
      <c r="F57" s="13">
        <f t="shared" si="17"/>
        <v>0</v>
      </c>
      <c r="G57" s="13">
        <f t="shared" si="30"/>
        <v>0</v>
      </c>
      <c r="H57" s="13">
        <f t="shared" si="30"/>
        <v>0</v>
      </c>
      <c r="I57" s="13">
        <f t="shared" si="30"/>
        <v>0</v>
      </c>
      <c r="J57" s="13">
        <f t="shared" si="30"/>
        <v>0</v>
      </c>
      <c r="K57" s="13">
        <f t="shared" si="30"/>
        <v>0</v>
      </c>
      <c r="L57" s="13">
        <f t="shared" si="30"/>
        <v>0</v>
      </c>
      <c r="M57" s="13">
        <f t="shared" si="30"/>
        <v>0</v>
      </c>
      <c r="N57" s="13">
        <f t="shared" si="30"/>
        <v>0</v>
      </c>
      <c r="O57" s="13">
        <f t="shared" si="30"/>
        <v>0</v>
      </c>
      <c r="P57" s="13">
        <f t="shared" si="30"/>
        <v>0</v>
      </c>
    </row>
    <row r="58" ht="40" customHeight="1" spans="1:16">
      <c r="A58" s="10" t="s">
        <v>37</v>
      </c>
      <c r="B58" s="13">
        <f>B27+B38+B40</f>
        <v>1400</v>
      </c>
      <c r="C58" s="13"/>
      <c r="D58" s="13">
        <f t="shared" ref="C58:P58" si="31">D27+D38+D40</f>
        <v>550</v>
      </c>
      <c r="E58" s="13">
        <f t="shared" si="31"/>
        <v>850</v>
      </c>
      <c r="F58" s="13">
        <f t="shared" si="17"/>
        <v>39.2857142857143</v>
      </c>
      <c r="G58" s="13">
        <f t="shared" si="31"/>
        <v>550</v>
      </c>
      <c r="H58" s="13">
        <f t="shared" si="31"/>
        <v>550</v>
      </c>
      <c r="I58" s="13">
        <f t="shared" si="31"/>
        <v>0</v>
      </c>
      <c r="J58" s="13">
        <f t="shared" si="31"/>
        <v>0</v>
      </c>
      <c r="K58" s="13">
        <f t="shared" si="31"/>
        <v>0</v>
      </c>
      <c r="L58" s="13">
        <f t="shared" si="31"/>
        <v>0</v>
      </c>
      <c r="M58" s="13">
        <f t="shared" si="31"/>
        <v>550</v>
      </c>
      <c r="N58" s="13">
        <f t="shared" si="31"/>
        <v>0</v>
      </c>
      <c r="O58" s="13">
        <f t="shared" si="31"/>
        <v>0</v>
      </c>
      <c r="P58" s="13">
        <f t="shared" si="31"/>
        <v>0</v>
      </c>
    </row>
    <row r="59" ht="40" customHeight="1" spans="1:16">
      <c r="A59" s="10" t="s">
        <v>191</v>
      </c>
      <c r="B59" s="13">
        <f>B43</f>
        <v>150</v>
      </c>
      <c r="C59" s="13"/>
      <c r="D59" s="13">
        <f t="shared" ref="C59:P59" si="32">D43</f>
        <v>0</v>
      </c>
      <c r="E59" s="13">
        <f t="shared" si="32"/>
        <v>150</v>
      </c>
      <c r="F59" s="13">
        <f t="shared" si="17"/>
        <v>0</v>
      </c>
      <c r="G59" s="13">
        <f t="shared" si="32"/>
        <v>0</v>
      </c>
      <c r="H59" s="13">
        <f t="shared" si="32"/>
        <v>0</v>
      </c>
      <c r="I59" s="13">
        <f t="shared" si="32"/>
        <v>0</v>
      </c>
      <c r="J59" s="13">
        <f t="shared" si="32"/>
        <v>0</v>
      </c>
      <c r="K59" s="13">
        <f t="shared" si="32"/>
        <v>0</v>
      </c>
      <c r="L59" s="13">
        <f t="shared" si="32"/>
        <v>0</v>
      </c>
      <c r="M59" s="13">
        <f t="shared" si="32"/>
        <v>0</v>
      </c>
      <c r="N59" s="13">
        <f t="shared" si="32"/>
        <v>0</v>
      </c>
      <c r="O59" s="13">
        <f t="shared" si="32"/>
        <v>0</v>
      </c>
      <c r="P59" s="13">
        <f t="shared" si="32"/>
        <v>0</v>
      </c>
    </row>
    <row r="60" ht="38" customHeight="1" spans="1:16">
      <c r="A60" s="10" t="s">
        <v>195</v>
      </c>
      <c r="B60" s="13">
        <f>B46</f>
        <v>100</v>
      </c>
      <c r="C60" s="13"/>
      <c r="D60" s="13">
        <f t="shared" ref="C60:P60" si="33">D46</f>
        <v>0</v>
      </c>
      <c r="E60" s="13">
        <f t="shared" si="33"/>
        <v>100</v>
      </c>
      <c r="F60" s="13">
        <f t="shared" si="17"/>
        <v>0</v>
      </c>
      <c r="G60" s="13">
        <f t="shared" si="33"/>
        <v>0</v>
      </c>
      <c r="H60" s="13">
        <f t="shared" si="33"/>
        <v>0</v>
      </c>
      <c r="I60" s="13">
        <f t="shared" si="33"/>
        <v>0</v>
      </c>
      <c r="J60" s="13">
        <f t="shared" si="33"/>
        <v>0</v>
      </c>
      <c r="K60" s="13">
        <f t="shared" si="33"/>
        <v>0</v>
      </c>
      <c r="L60" s="13">
        <f t="shared" si="33"/>
        <v>0</v>
      </c>
      <c r="M60" s="13">
        <f t="shared" si="33"/>
        <v>0</v>
      </c>
      <c r="N60" s="13">
        <f t="shared" si="33"/>
        <v>0</v>
      </c>
      <c r="O60" s="13">
        <f t="shared" si="33"/>
        <v>0</v>
      </c>
      <c r="P60" s="13">
        <f t="shared" si="33"/>
        <v>0</v>
      </c>
    </row>
    <row r="61" ht="38" customHeight="1" spans="1:16">
      <c r="A61" s="10" t="s">
        <v>35</v>
      </c>
      <c r="B61" s="13">
        <f>B32</f>
        <v>1000</v>
      </c>
      <c r="C61" s="13"/>
      <c r="D61" s="13">
        <f t="shared" ref="C61:P61" si="34">D32</f>
        <v>0</v>
      </c>
      <c r="E61" s="13">
        <f t="shared" si="34"/>
        <v>1000</v>
      </c>
      <c r="F61" s="13">
        <f t="shared" si="17"/>
        <v>0</v>
      </c>
      <c r="G61" s="13">
        <f t="shared" si="34"/>
        <v>0</v>
      </c>
      <c r="H61" s="13">
        <f t="shared" si="34"/>
        <v>0</v>
      </c>
      <c r="I61" s="13">
        <f t="shared" si="34"/>
        <v>0</v>
      </c>
      <c r="J61" s="13">
        <f t="shared" si="34"/>
        <v>0</v>
      </c>
      <c r="K61" s="13">
        <f t="shared" si="34"/>
        <v>0</v>
      </c>
      <c r="L61" s="13">
        <f t="shared" si="34"/>
        <v>0</v>
      </c>
      <c r="M61" s="13">
        <f t="shared" si="34"/>
        <v>0</v>
      </c>
      <c r="N61" s="13">
        <f t="shared" si="34"/>
        <v>0</v>
      </c>
      <c r="O61" s="13">
        <f t="shared" si="34"/>
        <v>0</v>
      </c>
      <c r="P61" s="13">
        <f t="shared" si="34"/>
        <v>0</v>
      </c>
    </row>
    <row r="62" ht="38" customHeight="1" spans="1:16">
      <c r="A62" s="10" t="s">
        <v>197</v>
      </c>
      <c r="B62" s="13">
        <f>B47</f>
        <v>160</v>
      </c>
      <c r="C62" s="13"/>
      <c r="D62" s="13">
        <f t="shared" ref="C62:P62" si="35">D47</f>
        <v>0</v>
      </c>
      <c r="E62" s="13">
        <f t="shared" si="35"/>
        <v>160</v>
      </c>
      <c r="F62" s="13">
        <f t="shared" si="17"/>
        <v>0</v>
      </c>
      <c r="G62" s="13">
        <f t="shared" si="35"/>
        <v>0</v>
      </c>
      <c r="H62" s="13">
        <f t="shared" si="35"/>
        <v>0</v>
      </c>
      <c r="I62" s="13">
        <f t="shared" si="35"/>
        <v>0</v>
      </c>
      <c r="J62" s="13">
        <f t="shared" si="35"/>
        <v>0</v>
      </c>
      <c r="K62" s="13">
        <f t="shared" si="35"/>
        <v>0</v>
      </c>
      <c r="L62" s="13">
        <f t="shared" si="35"/>
        <v>0</v>
      </c>
      <c r="M62" s="13">
        <f t="shared" si="35"/>
        <v>0</v>
      </c>
      <c r="N62" s="13">
        <f t="shared" si="35"/>
        <v>0</v>
      </c>
      <c r="O62" s="13">
        <f t="shared" si="35"/>
        <v>0</v>
      </c>
      <c r="P62" s="13">
        <f t="shared" si="35"/>
        <v>0</v>
      </c>
    </row>
  </sheetData>
  <mergeCells count="14">
    <mergeCell ref="A1:P1"/>
    <mergeCell ref="C2:K2"/>
    <mergeCell ref="O2:P2"/>
    <mergeCell ref="G3:P3"/>
    <mergeCell ref="H4:N4"/>
    <mergeCell ref="A3:A5"/>
    <mergeCell ref="B3:B5"/>
    <mergeCell ref="C3:C5"/>
    <mergeCell ref="D3:D5"/>
    <mergeCell ref="E3:E5"/>
    <mergeCell ref="F3:F5"/>
    <mergeCell ref="G4:G5"/>
    <mergeCell ref="O4:O5"/>
    <mergeCell ref="P4:P5"/>
  </mergeCells>
  <pageMargins left="0.609027777777778" right="0.354166666666667" top="0.393055555555556" bottom="0.196527777777778" header="0.511805555555556" footer="0.511805555555556"/>
  <pageSetup paperSize="9" scale="53" fitToHeight="0" orientation="landscape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3"/>
  <sheetViews>
    <sheetView showZeros="0" zoomScale="72" zoomScaleNormal="72" workbookViewId="0">
      <pane xSplit="1" ySplit="5" topLeftCell="B42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34.8916666666667" customWidth="1"/>
    <col min="2" max="2" width="13.1833333333333" customWidth="1"/>
    <col min="3" max="3" width="35.5916666666667" customWidth="1"/>
    <col min="4" max="4" width="13.1916666666667" customWidth="1"/>
    <col min="5" max="5" width="12.0833333333333" customWidth="1"/>
    <col min="6" max="6" width="10.75" customWidth="1"/>
    <col min="7" max="7" width="13.025" customWidth="1"/>
    <col min="8" max="8" width="13.1916666666667" customWidth="1"/>
    <col min="9" max="9" width="12.25" customWidth="1"/>
    <col min="10" max="10" width="12.9166666666667" customWidth="1"/>
    <col min="11" max="11" width="13.1666666666667" customWidth="1"/>
    <col min="12" max="12" width="10.5916666666667" customWidth="1"/>
    <col min="13" max="13" width="11.25" customWidth="1"/>
    <col min="14" max="14" width="12.5" customWidth="1"/>
    <col min="15" max="15" width="12.15" customWidth="1"/>
    <col min="16" max="16" width="10.75" customWidth="1"/>
  </cols>
  <sheetData>
    <row r="1" ht="38" customHeight="1" spans="1:16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8" customHeight="1" spans="1:16">
      <c r="A2" s="2" t="s">
        <v>118</v>
      </c>
      <c r="B2" s="3"/>
      <c r="C2" s="4" t="s">
        <v>200</v>
      </c>
      <c r="D2" s="4"/>
      <c r="E2" s="4"/>
      <c r="F2" s="4"/>
      <c r="G2" s="4"/>
      <c r="H2" s="4"/>
      <c r="I2" s="4"/>
      <c r="J2" s="4"/>
      <c r="K2" s="4"/>
      <c r="L2" s="16"/>
      <c r="M2" s="16"/>
      <c r="N2" s="16"/>
      <c r="O2" s="17" t="s">
        <v>3</v>
      </c>
      <c r="P2" s="17"/>
    </row>
    <row r="3" ht="23" customHeight="1" spans="1:16">
      <c r="A3" s="174" t="s">
        <v>134</v>
      </c>
      <c r="B3" s="174" t="s">
        <v>135</v>
      </c>
      <c r="C3" s="174" t="s">
        <v>62</v>
      </c>
      <c r="D3" s="175" t="s">
        <v>136</v>
      </c>
      <c r="E3" s="175" t="s">
        <v>137</v>
      </c>
      <c r="F3" s="175" t="s">
        <v>7</v>
      </c>
      <c r="G3" s="174" t="s">
        <v>65</v>
      </c>
      <c r="H3" s="174"/>
      <c r="I3" s="174"/>
      <c r="J3" s="174"/>
      <c r="K3" s="174"/>
      <c r="L3" s="174"/>
      <c r="M3" s="174"/>
      <c r="N3" s="174"/>
      <c r="O3" s="174"/>
      <c r="P3" s="174"/>
    </row>
    <row r="4" ht="23" customHeight="1" spans="1:16">
      <c r="A4" s="174"/>
      <c r="B4" s="174"/>
      <c r="C4" s="174"/>
      <c r="D4" s="175"/>
      <c r="E4" s="175"/>
      <c r="F4" s="175"/>
      <c r="G4" s="174" t="s">
        <v>138</v>
      </c>
      <c r="H4" s="174" t="s">
        <v>139</v>
      </c>
      <c r="I4" s="174"/>
      <c r="J4" s="174"/>
      <c r="K4" s="174"/>
      <c r="L4" s="174"/>
      <c r="M4" s="174"/>
      <c r="N4" s="174"/>
      <c r="O4" s="181" t="s">
        <v>140</v>
      </c>
      <c r="P4" s="174" t="s">
        <v>141</v>
      </c>
    </row>
    <row r="5" ht="23" customHeight="1" spans="1:16">
      <c r="A5" s="174"/>
      <c r="B5" s="174"/>
      <c r="C5" s="174"/>
      <c r="D5" s="175"/>
      <c r="E5" s="175"/>
      <c r="F5" s="175"/>
      <c r="G5" s="174"/>
      <c r="H5" s="174" t="s">
        <v>66</v>
      </c>
      <c r="I5" s="174" t="s">
        <v>142</v>
      </c>
      <c r="J5" s="174" t="s">
        <v>143</v>
      </c>
      <c r="K5" s="174" t="s">
        <v>144</v>
      </c>
      <c r="L5" s="175" t="s">
        <v>69</v>
      </c>
      <c r="M5" s="175" t="s">
        <v>145</v>
      </c>
      <c r="N5" s="174" t="s">
        <v>131</v>
      </c>
      <c r="O5" s="181"/>
      <c r="P5" s="174"/>
    </row>
    <row r="6" ht="42" customHeight="1" spans="1:16">
      <c r="A6" s="203" t="s">
        <v>93</v>
      </c>
      <c r="B6" s="204">
        <f t="shared" ref="B6:G6" si="0">B7+B20+B24+B30</f>
        <v>22351.5</v>
      </c>
      <c r="C6" s="204">
        <f t="shared" si="0"/>
        <v>0</v>
      </c>
      <c r="D6" s="179">
        <f t="shared" si="0"/>
        <v>15982.84</v>
      </c>
      <c r="E6" s="179">
        <f t="shared" si="0"/>
        <v>6368.66</v>
      </c>
      <c r="F6" s="178">
        <f t="shared" ref="F6:F62" si="1">D6/B6*100</f>
        <v>71.5067892535177</v>
      </c>
      <c r="G6" s="179">
        <f t="shared" si="0"/>
        <v>15982.84263</v>
      </c>
      <c r="H6" s="179">
        <f t="shared" ref="H6:H47" si="2">SUM(I6:N6)</f>
        <v>13873.44163</v>
      </c>
      <c r="I6" s="179">
        <f t="shared" ref="I6:P6" si="3">SUM(I7,I20,I24,I30)</f>
        <v>4615.9</v>
      </c>
      <c r="J6" s="179">
        <f t="shared" si="3"/>
        <v>6503</v>
      </c>
      <c r="K6" s="179">
        <f t="shared" si="3"/>
        <v>1338.5</v>
      </c>
      <c r="L6" s="179">
        <f t="shared" si="3"/>
        <v>191.7</v>
      </c>
      <c r="M6" s="179">
        <f t="shared" si="3"/>
        <v>520</v>
      </c>
      <c r="N6" s="179">
        <f t="shared" si="3"/>
        <v>704.34163</v>
      </c>
      <c r="O6" s="179">
        <f t="shared" si="3"/>
        <v>2093.16</v>
      </c>
      <c r="P6" s="179">
        <f t="shared" si="3"/>
        <v>16.241</v>
      </c>
    </row>
    <row r="7" ht="42" customHeight="1" spans="1:16">
      <c r="A7" s="185" t="s">
        <v>180</v>
      </c>
      <c r="B7" s="186">
        <f>B8+B15+B18+B19</f>
        <v>12239</v>
      </c>
      <c r="C7" s="186"/>
      <c r="D7" s="186">
        <f>D8+D15+D18+D19</f>
        <v>8365.18</v>
      </c>
      <c r="E7" s="186">
        <f>E8+E15+E18+E19</f>
        <v>3873.82</v>
      </c>
      <c r="F7" s="13">
        <f t="shared" si="1"/>
        <v>68.3485578887164</v>
      </c>
      <c r="G7" s="14">
        <f>SUM(G8,G15,G18,G19)</f>
        <v>8365.18263</v>
      </c>
      <c r="H7" s="14">
        <f t="shared" si="2"/>
        <v>8180.94163</v>
      </c>
      <c r="I7" s="14">
        <f t="shared" ref="I7:N7" si="4">SUM(I8,I18,I19)</f>
        <v>4615.9</v>
      </c>
      <c r="J7" s="14">
        <f t="shared" si="4"/>
        <v>2669</v>
      </c>
      <c r="K7" s="14">
        <f t="shared" si="4"/>
        <v>0</v>
      </c>
      <c r="L7" s="14">
        <f t="shared" si="4"/>
        <v>191.7</v>
      </c>
      <c r="M7" s="14">
        <f t="shared" si="4"/>
        <v>0</v>
      </c>
      <c r="N7" s="14">
        <f t="shared" si="4"/>
        <v>704.34163</v>
      </c>
      <c r="O7" s="14">
        <f>O8+O19+O18</f>
        <v>168</v>
      </c>
      <c r="P7" s="14">
        <f>SUM(P8,P18,P19)</f>
        <v>16.241</v>
      </c>
    </row>
    <row r="8" ht="42" customHeight="1" spans="1:16">
      <c r="A8" s="180" t="s">
        <v>181</v>
      </c>
      <c r="B8" s="186">
        <f t="shared" ref="B8:G8" si="5">SUM(B9:B14)</f>
        <v>11036</v>
      </c>
      <c r="C8" s="187"/>
      <c r="D8" s="14">
        <f t="shared" si="5"/>
        <v>8365.18</v>
      </c>
      <c r="E8" s="14">
        <f t="shared" si="5"/>
        <v>2670.82</v>
      </c>
      <c r="F8" s="13">
        <f t="shared" si="1"/>
        <v>75.7990213845596</v>
      </c>
      <c r="G8" s="14">
        <f t="shared" si="5"/>
        <v>8365.18263</v>
      </c>
      <c r="H8" s="14">
        <f t="shared" si="2"/>
        <v>8180.94163</v>
      </c>
      <c r="I8" s="14">
        <f t="shared" ref="I8:P8" si="6">SUM(I9:I14)</f>
        <v>4615.9</v>
      </c>
      <c r="J8" s="14">
        <f t="shared" si="6"/>
        <v>2669</v>
      </c>
      <c r="K8" s="14">
        <f t="shared" si="6"/>
        <v>0</v>
      </c>
      <c r="L8" s="14">
        <f t="shared" si="6"/>
        <v>191.7</v>
      </c>
      <c r="M8" s="14">
        <f t="shared" si="6"/>
        <v>0</v>
      </c>
      <c r="N8" s="14">
        <f t="shared" si="6"/>
        <v>704.34163</v>
      </c>
      <c r="O8" s="14">
        <f t="shared" si="6"/>
        <v>168</v>
      </c>
      <c r="P8" s="14">
        <f t="shared" si="6"/>
        <v>16.241</v>
      </c>
    </row>
    <row r="9" ht="42" customHeight="1" spans="1:16">
      <c r="A9" s="10" t="s">
        <v>148</v>
      </c>
      <c r="B9" s="11">
        <v>168</v>
      </c>
      <c r="C9" s="15" t="s">
        <v>149</v>
      </c>
      <c r="D9" s="13">
        <v>168</v>
      </c>
      <c r="E9" s="13">
        <f t="shared" ref="E9:E23" si="7">B9-D9</f>
        <v>0</v>
      </c>
      <c r="F9" s="13">
        <f t="shared" si="1"/>
        <v>100</v>
      </c>
      <c r="G9" s="13">
        <f t="shared" ref="G9:G23" si="8">SUM(I9:P9)</f>
        <v>168</v>
      </c>
      <c r="H9" s="14">
        <f t="shared" si="2"/>
        <v>0</v>
      </c>
      <c r="I9" s="13"/>
      <c r="J9" s="13"/>
      <c r="K9" s="13"/>
      <c r="L9" s="196"/>
      <c r="M9" s="196"/>
      <c r="N9" s="196"/>
      <c r="O9" s="13">
        <v>168</v>
      </c>
      <c r="P9" s="13"/>
    </row>
    <row r="10" ht="42" customHeight="1" spans="1:16">
      <c r="A10" s="10" t="s">
        <v>150</v>
      </c>
      <c r="B10" s="11">
        <v>4631</v>
      </c>
      <c r="C10" s="39" t="s">
        <v>151</v>
      </c>
      <c r="D10" s="13">
        <v>4615.9</v>
      </c>
      <c r="E10" s="13">
        <f t="shared" si="7"/>
        <v>15.1000000000004</v>
      </c>
      <c r="F10" s="13">
        <f t="shared" si="1"/>
        <v>99.6739365147916</v>
      </c>
      <c r="G10" s="13">
        <f t="shared" si="8"/>
        <v>4615.9</v>
      </c>
      <c r="H10" s="14">
        <f t="shared" si="2"/>
        <v>4615.9</v>
      </c>
      <c r="I10" s="13">
        <v>4615.9</v>
      </c>
      <c r="J10" s="13"/>
      <c r="K10" s="13"/>
      <c r="L10" s="13"/>
      <c r="M10" s="13"/>
      <c r="N10" s="13"/>
      <c r="O10" s="13"/>
      <c r="P10" s="13"/>
    </row>
    <row r="11" ht="42" customHeight="1" spans="1:16">
      <c r="A11" s="10" t="s">
        <v>152</v>
      </c>
      <c r="B11" s="11">
        <v>2058</v>
      </c>
      <c r="C11" s="15" t="s">
        <v>153</v>
      </c>
      <c r="D11" s="13"/>
      <c r="E11" s="13">
        <f t="shared" si="7"/>
        <v>2058</v>
      </c>
      <c r="F11" s="13">
        <f t="shared" si="1"/>
        <v>0</v>
      </c>
      <c r="G11" s="13">
        <f t="shared" si="8"/>
        <v>0</v>
      </c>
      <c r="H11" s="14">
        <f t="shared" si="2"/>
        <v>0</v>
      </c>
      <c r="I11" s="13"/>
      <c r="J11" s="13"/>
      <c r="K11" s="13"/>
      <c r="L11" s="13"/>
      <c r="M11" s="13"/>
      <c r="N11" s="13"/>
      <c r="O11" s="13"/>
      <c r="P11" s="13"/>
    </row>
    <row r="12" ht="42" customHeight="1" spans="1:16">
      <c r="A12" s="10" t="s">
        <v>154</v>
      </c>
      <c r="B12" s="11">
        <v>567</v>
      </c>
      <c r="C12" s="15" t="s">
        <v>155</v>
      </c>
      <c r="D12" s="13">
        <v>567</v>
      </c>
      <c r="E12" s="13">
        <f t="shared" si="7"/>
        <v>0</v>
      </c>
      <c r="F12" s="13">
        <f t="shared" si="1"/>
        <v>100</v>
      </c>
      <c r="G12" s="13">
        <f t="shared" si="8"/>
        <v>567</v>
      </c>
      <c r="H12" s="14">
        <f t="shared" si="2"/>
        <v>567</v>
      </c>
      <c r="I12" s="196"/>
      <c r="J12" s="13"/>
      <c r="K12" s="13"/>
      <c r="L12" s="13"/>
      <c r="M12" s="13"/>
      <c r="N12" s="13">
        <v>567</v>
      </c>
      <c r="O12" s="13"/>
      <c r="P12" s="13"/>
    </row>
    <row r="13" ht="42" customHeight="1" spans="1:16">
      <c r="A13" s="10" t="s">
        <v>36</v>
      </c>
      <c r="B13" s="11">
        <f>176+380</f>
        <v>556</v>
      </c>
      <c r="C13" s="39" t="s">
        <v>156</v>
      </c>
      <c r="D13" s="13">
        <v>249.59</v>
      </c>
      <c r="E13" s="13">
        <f t="shared" si="7"/>
        <v>306.41</v>
      </c>
      <c r="F13" s="13">
        <f t="shared" si="1"/>
        <v>44.8902877697842</v>
      </c>
      <c r="G13" s="13">
        <f t="shared" si="8"/>
        <v>249.59388</v>
      </c>
      <c r="H13" s="14">
        <f t="shared" si="2"/>
        <v>233.35288</v>
      </c>
      <c r="I13" s="13"/>
      <c r="J13" s="13"/>
      <c r="K13" s="13"/>
      <c r="L13" s="13">
        <v>191.7</v>
      </c>
      <c r="M13" s="13"/>
      <c r="N13" s="13">
        <v>41.65288</v>
      </c>
      <c r="O13" s="13"/>
      <c r="P13" s="13">
        <v>16.241</v>
      </c>
    </row>
    <row r="14" ht="42" customHeight="1" spans="1:16">
      <c r="A14" s="10" t="s">
        <v>33</v>
      </c>
      <c r="B14" s="11">
        <f>387+2669</f>
        <v>3056</v>
      </c>
      <c r="C14" s="15" t="s">
        <v>157</v>
      </c>
      <c r="D14" s="13">
        <f>2669+95.69</f>
        <v>2764.69</v>
      </c>
      <c r="E14" s="13">
        <f t="shared" si="7"/>
        <v>291.31</v>
      </c>
      <c r="F14" s="13">
        <f t="shared" si="1"/>
        <v>90.4676047120419</v>
      </c>
      <c r="G14" s="13">
        <f t="shared" si="8"/>
        <v>2764.68875</v>
      </c>
      <c r="H14" s="14">
        <f t="shared" si="2"/>
        <v>2764.68875</v>
      </c>
      <c r="I14" s="13"/>
      <c r="J14" s="13">
        <v>2669</v>
      </c>
      <c r="K14" s="13"/>
      <c r="L14" s="13"/>
      <c r="M14" s="13"/>
      <c r="N14" s="13">
        <v>95.68875</v>
      </c>
      <c r="O14" s="13"/>
      <c r="P14" s="13"/>
    </row>
    <row r="15" ht="42" customHeight="1" spans="1:16">
      <c r="A15" s="180" t="s">
        <v>182</v>
      </c>
      <c r="B15" s="11">
        <f>B16+B17</f>
        <v>824</v>
      </c>
      <c r="C15" s="15"/>
      <c r="D15" s="13"/>
      <c r="E15" s="13">
        <f t="shared" si="7"/>
        <v>824</v>
      </c>
      <c r="F15" s="13">
        <f t="shared" si="1"/>
        <v>0</v>
      </c>
      <c r="G15" s="13">
        <f t="shared" si="8"/>
        <v>0</v>
      </c>
      <c r="H15" s="14">
        <f t="shared" si="2"/>
        <v>0</v>
      </c>
      <c r="I15" s="13"/>
      <c r="J15" s="13"/>
      <c r="K15" s="13"/>
      <c r="L15" s="13"/>
      <c r="M15" s="13"/>
      <c r="N15" s="13"/>
      <c r="O15" s="13"/>
      <c r="P15" s="13"/>
    </row>
    <row r="16" ht="42" customHeight="1" spans="1:16">
      <c r="A16" s="10" t="s">
        <v>150</v>
      </c>
      <c r="B16" s="11">
        <v>500</v>
      </c>
      <c r="C16" s="15" t="s">
        <v>164</v>
      </c>
      <c r="D16" s="13"/>
      <c r="E16" s="13">
        <f t="shared" si="7"/>
        <v>500</v>
      </c>
      <c r="F16" s="13">
        <f t="shared" si="1"/>
        <v>0</v>
      </c>
      <c r="G16" s="13">
        <f t="shared" si="8"/>
        <v>0</v>
      </c>
      <c r="H16" s="14">
        <f t="shared" si="2"/>
        <v>0</v>
      </c>
      <c r="I16" s="13"/>
      <c r="J16" s="13"/>
      <c r="K16" s="13"/>
      <c r="L16" s="13"/>
      <c r="M16" s="13"/>
      <c r="N16" s="13"/>
      <c r="O16" s="13"/>
      <c r="P16" s="13"/>
    </row>
    <row r="17" ht="42" customHeight="1" spans="1:16">
      <c r="A17" s="10" t="s">
        <v>152</v>
      </c>
      <c r="B17" s="11">
        <v>324</v>
      </c>
      <c r="C17" s="15" t="s">
        <v>155</v>
      </c>
      <c r="D17" s="13"/>
      <c r="E17" s="13">
        <f t="shared" si="7"/>
        <v>324</v>
      </c>
      <c r="F17" s="13">
        <f t="shared" si="1"/>
        <v>0</v>
      </c>
      <c r="G17" s="13">
        <f t="shared" si="8"/>
        <v>0</v>
      </c>
      <c r="H17" s="14">
        <f t="shared" si="2"/>
        <v>0</v>
      </c>
      <c r="I17" s="13"/>
      <c r="J17" s="13"/>
      <c r="K17" s="13"/>
      <c r="L17" s="13"/>
      <c r="M17" s="13"/>
      <c r="N17" s="13"/>
      <c r="O17" s="13"/>
      <c r="P17" s="13"/>
    </row>
    <row r="18" ht="42" customHeight="1" spans="1:16">
      <c r="A18" s="180" t="s">
        <v>183</v>
      </c>
      <c r="B18" s="11">
        <v>329</v>
      </c>
      <c r="C18" s="15" t="s">
        <v>159</v>
      </c>
      <c r="D18" s="13">
        <v>0</v>
      </c>
      <c r="E18" s="13">
        <f t="shared" si="7"/>
        <v>329</v>
      </c>
      <c r="F18" s="13">
        <f t="shared" si="1"/>
        <v>0</v>
      </c>
      <c r="G18" s="13">
        <f t="shared" si="8"/>
        <v>0</v>
      </c>
      <c r="H18" s="14">
        <f t="shared" si="2"/>
        <v>0</v>
      </c>
      <c r="I18" s="13">
        <v>0</v>
      </c>
      <c r="J18" s="13"/>
      <c r="K18" s="13"/>
      <c r="L18" s="13"/>
      <c r="M18" s="13"/>
      <c r="N18" s="13"/>
      <c r="O18" s="13"/>
      <c r="P18" s="13"/>
    </row>
    <row r="19" ht="42" customHeight="1" spans="1:16">
      <c r="A19" s="180" t="s">
        <v>184</v>
      </c>
      <c r="B19" s="11">
        <v>50</v>
      </c>
      <c r="C19" s="15" t="s">
        <v>161</v>
      </c>
      <c r="D19" s="13">
        <v>0</v>
      </c>
      <c r="E19" s="13">
        <f t="shared" si="7"/>
        <v>50</v>
      </c>
      <c r="F19" s="13">
        <f t="shared" si="1"/>
        <v>0</v>
      </c>
      <c r="G19" s="13">
        <f t="shared" si="8"/>
        <v>0</v>
      </c>
      <c r="H19" s="14">
        <f t="shared" si="2"/>
        <v>0</v>
      </c>
      <c r="I19" s="13"/>
      <c r="J19" s="13"/>
      <c r="K19" s="13"/>
      <c r="L19" s="13"/>
      <c r="M19" s="13"/>
      <c r="N19" s="13"/>
      <c r="O19" s="13"/>
      <c r="P19" s="13">
        <v>0</v>
      </c>
    </row>
    <row r="20" ht="42" customHeight="1" spans="1:16">
      <c r="A20" s="185" t="s">
        <v>185</v>
      </c>
      <c r="B20" s="11">
        <f>B21+B22+B23</f>
        <v>4255</v>
      </c>
      <c r="C20" s="15"/>
      <c r="D20" s="13">
        <f>D21+D22+D23</f>
        <v>3279.53</v>
      </c>
      <c r="E20" s="13">
        <f t="shared" si="7"/>
        <v>975.47</v>
      </c>
      <c r="F20" s="13">
        <f t="shared" si="1"/>
        <v>77.0747356051704</v>
      </c>
      <c r="G20" s="13">
        <f t="shared" si="8"/>
        <v>3279.53</v>
      </c>
      <c r="H20" s="14">
        <f t="shared" si="2"/>
        <v>2855</v>
      </c>
      <c r="I20" s="13">
        <f t="shared" ref="I20:P20" si="9">I21+I22+I23</f>
        <v>0</v>
      </c>
      <c r="J20" s="13">
        <f t="shared" si="9"/>
        <v>2855</v>
      </c>
      <c r="K20" s="13">
        <f t="shared" si="9"/>
        <v>0</v>
      </c>
      <c r="L20" s="13">
        <f t="shared" si="9"/>
        <v>0</v>
      </c>
      <c r="M20" s="13">
        <f t="shared" si="9"/>
        <v>0</v>
      </c>
      <c r="N20" s="13">
        <f t="shared" si="9"/>
        <v>0</v>
      </c>
      <c r="O20" s="13">
        <f t="shared" si="9"/>
        <v>424.53</v>
      </c>
      <c r="P20" s="13">
        <f t="shared" si="9"/>
        <v>0</v>
      </c>
    </row>
    <row r="21" ht="42" customHeight="1" spans="1:16">
      <c r="A21" s="10" t="s">
        <v>148</v>
      </c>
      <c r="B21" s="11">
        <v>1329</v>
      </c>
      <c r="C21" s="15" t="s">
        <v>174</v>
      </c>
      <c r="D21" s="13">
        <v>424.53</v>
      </c>
      <c r="E21" s="13">
        <f t="shared" si="7"/>
        <v>904.47</v>
      </c>
      <c r="F21" s="13">
        <f t="shared" si="1"/>
        <v>31.9435665914221</v>
      </c>
      <c r="G21" s="13">
        <f t="shared" si="8"/>
        <v>424.53</v>
      </c>
      <c r="H21" s="14">
        <f t="shared" si="2"/>
        <v>0</v>
      </c>
      <c r="I21" s="13"/>
      <c r="J21" s="13"/>
      <c r="K21" s="13"/>
      <c r="L21" s="13"/>
      <c r="M21" s="13"/>
      <c r="N21" s="13"/>
      <c r="O21" s="13">
        <v>424.53</v>
      </c>
      <c r="P21" s="13"/>
    </row>
    <row r="22" ht="42" customHeight="1" spans="1:16">
      <c r="A22" s="10" t="s">
        <v>150</v>
      </c>
      <c r="B22" s="11">
        <v>2855</v>
      </c>
      <c r="C22" s="15" t="s">
        <v>175</v>
      </c>
      <c r="D22" s="13">
        <v>2855</v>
      </c>
      <c r="E22" s="13">
        <f t="shared" si="7"/>
        <v>0</v>
      </c>
      <c r="F22" s="13">
        <f t="shared" si="1"/>
        <v>100</v>
      </c>
      <c r="G22" s="13">
        <f t="shared" si="8"/>
        <v>2855</v>
      </c>
      <c r="H22" s="14">
        <f t="shared" si="2"/>
        <v>2855</v>
      </c>
      <c r="I22" s="13"/>
      <c r="J22" s="13">
        <v>2855</v>
      </c>
      <c r="K22" s="13"/>
      <c r="L22" s="13"/>
      <c r="M22" s="13"/>
      <c r="N22" s="13"/>
      <c r="O22" s="13"/>
      <c r="P22" s="13"/>
    </row>
    <row r="23" ht="42" customHeight="1" spans="1:16">
      <c r="A23" s="10" t="s">
        <v>152</v>
      </c>
      <c r="B23" s="11">
        <v>71</v>
      </c>
      <c r="C23" s="15" t="s">
        <v>155</v>
      </c>
      <c r="D23" s="13"/>
      <c r="E23" s="13">
        <f t="shared" si="7"/>
        <v>71</v>
      </c>
      <c r="F23" s="13">
        <f t="shared" si="1"/>
        <v>0</v>
      </c>
      <c r="G23" s="13">
        <f t="shared" si="8"/>
        <v>0</v>
      </c>
      <c r="H23" s="14">
        <f t="shared" si="2"/>
        <v>0</v>
      </c>
      <c r="I23" s="13"/>
      <c r="J23" s="13"/>
      <c r="K23" s="13"/>
      <c r="L23" s="13"/>
      <c r="M23" s="13"/>
      <c r="N23" s="13"/>
      <c r="O23" s="13"/>
      <c r="P23" s="13"/>
    </row>
    <row r="24" ht="42" customHeight="1" spans="1:16">
      <c r="A24" s="188" t="s">
        <v>186</v>
      </c>
      <c r="B24" s="11">
        <f t="shared" ref="B24:G24" si="10">SUM(B25:B29)</f>
        <v>2857.5</v>
      </c>
      <c r="C24" s="189"/>
      <c r="D24" s="13">
        <f t="shared" si="10"/>
        <v>2837.5</v>
      </c>
      <c r="E24" s="13">
        <f t="shared" si="10"/>
        <v>20</v>
      </c>
      <c r="F24" s="13">
        <f t="shared" si="1"/>
        <v>99.3000874890639</v>
      </c>
      <c r="G24" s="13">
        <f t="shared" si="10"/>
        <v>2837.5</v>
      </c>
      <c r="H24" s="14">
        <f t="shared" si="2"/>
        <v>2837.5</v>
      </c>
      <c r="I24" s="13">
        <f t="shared" ref="I24:P24" si="11">SUM(I25:I29)</f>
        <v>0</v>
      </c>
      <c r="J24" s="13">
        <f t="shared" si="11"/>
        <v>979</v>
      </c>
      <c r="K24" s="13">
        <f t="shared" si="11"/>
        <v>1338.5</v>
      </c>
      <c r="L24" s="13">
        <f t="shared" si="11"/>
        <v>0</v>
      </c>
      <c r="M24" s="13">
        <f t="shared" si="11"/>
        <v>520</v>
      </c>
      <c r="N24" s="13">
        <f t="shared" si="11"/>
        <v>0</v>
      </c>
      <c r="O24" s="13">
        <f t="shared" si="11"/>
        <v>0</v>
      </c>
      <c r="P24" s="13">
        <f t="shared" si="11"/>
        <v>0</v>
      </c>
    </row>
    <row r="25" ht="42" customHeight="1" spans="1:16">
      <c r="A25" s="10" t="s">
        <v>33</v>
      </c>
      <c r="B25" s="11">
        <v>204</v>
      </c>
      <c r="C25" s="15" t="s">
        <v>143</v>
      </c>
      <c r="D25" s="13">
        <v>204</v>
      </c>
      <c r="E25" s="13">
        <f t="shared" ref="E25:E29" si="12">B25-D25</f>
        <v>0</v>
      </c>
      <c r="F25" s="13">
        <f t="shared" si="1"/>
        <v>100</v>
      </c>
      <c r="G25" s="14">
        <f t="shared" ref="G25:G29" si="13">H25+O25+P25</f>
        <v>204</v>
      </c>
      <c r="H25" s="14">
        <f t="shared" si="2"/>
        <v>204</v>
      </c>
      <c r="I25" s="13"/>
      <c r="J25" s="13">
        <v>204</v>
      </c>
      <c r="K25" s="13"/>
      <c r="L25" s="13"/>
      <c r="M25" s="13"/>
      <c r="N25" s="13"/>
      <c r="O25" s="13"/>
      <c r="P25" s="13"/>
    </row>
    <row r="26" ht="42" customHeight="1" spans="1:16">
      <c r="A26" s="10" t="s">
        <v>150</v>
      </c>
      <c r="B26" s="11">
        <v>775</v>
      </c>
      <c r="C26" s="15" t="s">
        <v>143</v>
      </c>
      <c r="D26" s="13">
        <v>775</v>
      </c>
      <c r="E26" s="13">
        <f t="shared" si="12"/>
        <v>0</v>
      </c>
      <c r="F26" s="13">
        <f t="shared" si="1"/>
        <v>100</v>
      </c>
      <c r="G26" s="14">
        <f t="shared" si="13"/>
        <v>775</v>
      </c>
      <c r="H26" s="14">
        <f t="shared" si="2"/>
        <v>775</v>
      </c>
      <c r="I26" s="13"/>
      <c r="J26" s="13">
        <v>775</v>
      </c>
      <c r="K26" s="13"/>
      <c r="L26" s="13"/>
      <c r="M26" s="13"/>
      <c r="N26" s="13"/>
      <c r="O26" s="13"/>
      <c r="P26" s="13"/>
    </row>
    <row r="27" ht="42" customHeight="1" spans="1:16">
      <c r="A27" s="10" t="s">
        <v>37</v>
      </c>
      <c r="B27" s="11">
        <v>520</v>
      </c>
      <c r="C27" s="15" t="s">
        <v>163</v>
      </c>
      <c r="D27" s="13">
        <v>520</v>
      </c>
      <c r="E27" s="13">
        <f t="shared" si="12"/>
        <v>0</v>
      </c>
      <c r="F27" s="13">
        <f t="shared" si="1"/>
        <v>100</v>
      </c>
      <c r="G27" s="14">
        <f t="shared" si="13"/>
        <v>520</v>
      </c>
      <c r="H27" s="14">
        <f t="shared" si="2"/>
        <v>520</v>
      </c>
      <c r="I27" s="13"/>
      <c r="J27" s="13"/>
      <c r="K27" s="13"/>
      <c r="L27" s="13"/>
      <c r="M27" s="13">
        <v>520</v>
      </c>
      <c r="N27" s="13"/>
      <c r="O27" s="13"/>
      <c r="P27" s="13"/>
    </row>
    <row r="28" ht="42" customHeight="1" spans="1:16">
      <c r="A28" s="10" t="s">
        <v>150</v>
      </c>
      <c r="B28" s="11">
        <v>1338.5</v>
      </c>
      <c r="C28" s="15" t="s">
        <v>164</v>
      </c>
      <c r="D28" s="13">
        <v>1338.5</v>
      </c>
      <c r="E28" s="13">
        <f t="shared" si="12"/>
        <v>0</v>
      </c>
      <c r="F28" s="13">
        <f t="shared" si="1"/>
        <v>100</v>
      </c>
      <c r="G28" s="14">
        <f t="shared" si="13"/>
        <v>1338.5</v>
      </c>
      <c r="H28" s="14">
        <f t="shared" si="2"/>
        <v>1338.5</v>
      </c>
      <c r="I28" s="13"/>
      <c r="J28" s="13"/>
      <c r="K28" s="13">
        <v>1338.5</v>
      </c>
      <c r="L28" s="13"/>
      <c r="M28" s="13"/>
      <c r="N28" s="13"/>
      <c r="O28" s="13"/>
      <c r="P28" s="13"/>
    </row>
    <row r="29" ht="42" customHeight="1" spans="1:16">
      <c r="A29" s="10" t="s">
        <v>150</v>
      </c>
      <c r="B29" s="11">
        <v>20</v>
      </c>
      <c r="C29" s="15" t="s">
        <v>187</v>
      </c>
      <c r="D29" s="13"/>
      <c r="E29" s="13">
        <f t="shared" si="12"/>
        <v>20</v>
      </c>
      <c r="F29" s="13">
        <f t="shared" si="1"/>
        <v>0</v>
      </c>
      <c r="G29" s="14">
        <f t="shared" si="13"/>
        <v>0</v>
      </c>
      <c r="H29" s="14">
        <f t="shared" si="2"/>
        <v>0</v>
      </c>
      <c r="I29" s="13"/>
      <c r="J29" s="13"/>
      <c r="K29" s="13"/>
      <c r="L29" s="13"/>
      <c r="M29" s="13"/>
      <c r="N29" s="13"/>
      <c r="O29" s="13"/>
      <c r="P29" s="85"/>
    </row>
    <row r="30" ht="42" customHeight="1" spans="1:16">
      <c r="A30" s="185" t="s">
        <v>188</v>
      </c>
      <c r="B30" s="11">
        <f t="shared" ref="B30:G30" si="14">B31+B32+B33+B34</f>
        <v>3000</v>
      </c>
      <c r="C30" s="15"/>
      <c r="D30" s="13">
        <f t="shared" si="14"/>
        <v>1500.63</v>
      </c>
      <c r="E30" s="13">
        <f t="shared" si="14"/>
        <v>1499.37</v>
      </c>
      <c r="F30" s="13">
        <f t="shared" si="1"/>
        <v>50.021</v>
      </c>
      <c r="G30" s="13">
        <f t="shared" si="14"/>
        <v>1500.63</v>
      </c>
      <c r="H30" s="14">
        <f t="shared" si="2"/>
        <v>0</v>
      </c>
      <c r="I30" s="13">
        <f t="shared" ref="I30:O30" si="15">I31+I32+I33+I34</f>
        <v>0</v>
      </c>
      <c r="J30" s="13">
        <f t="shared" si="15"/>
        <v>0</v>
      </c>
      <c r="K30" s="13">
        <f t="shared" si="15"/>
        <v>0</v>
      </c>
      <c r="L30" s="13">
        <f t="shared" si="15"/>
        <v>0</v>
      </c>
      <c r="M30" s="13">
        <f t="shared" si="15"/>
        <v>0</v>
      </c>
      <c r="N30" s="13">
        <f t="shared" si="15"/>
        <v>0</v>
      </c>
      <c r="O30" s="13">
        <f t="shared" si="15"/>
        <v>1500.63</v>
      </c>
      <c r="P30" s="13"/>
    </row>
    <row r="31" ht="42" customHeight="1" spans="1:16">
      <c r="A31" s="10" t="s">
        <v>150</v>
      </c>
      <c r="B31" s="11">
        <v>20</v>
      </c>
      <c r="C31" s="15" t="s">
        <v>176</v>
      </c>
      <c r="D31" s="13"/>
      <c r="E31" s="13">
        <f t="shared" ref="E31:E34" si="16">B31-D31</f>
        <v>20</v>
      </c>
      <c r="F31" s="13">
        <f t="shared" si="1"/>
        <v>0</v>
      </c>
      <c r="G31" s="14">
        <f t="shared" ref="G31:G34" si="17">H31+O31+P31</f>
        <v>0</v>
      </c>
      <c r="H31" s="14">
        <f t="shared" si="2"/>
        <v>0</v>
      </c>
      <c r="I31" s="13"/>
      <c r="J31" s="13"/>
      <c r="K31" s="13"/>
      <c r="L31" s="13"/>
      <c r="M31" s="13"/>
      <c r="N31" s="13"/>
      <c r="O31" s="13"/>
      <c r="P31" s="13"/>
    </row>
    <row r="32" ht="42" customHeight="1" spans="1:16">
      <c r="A32" s="10" t="s">
        <v>35</v>
      </c>
      <c r="B32" s="11">
        <v>1000</v>
      </c>
      <c r="C32" s="15" t="s">
        <v>177</v>
      </c>
      <c r="D32" s="13"/>
      <c r="E32" s="13">
        <f t="shared" si="16"/>
        <v>1000</v>
      </c>
      <c r="F32" s="13">
        <f t="shared" si="1"/>
        <v>0</v>
      </c>
      <c r="G32" s="14">
        <f t="shared" si="17"/>
        <v>0</v>
      </c>
      <c r="H32" s="14">
        <f t="shared" si="2"/>
        <v>0</v>
      </c>
      <c r="I32" s="13"/>
      <c r="J32" s="13"/>
      <c r="K32" s="13"/>
      <c r="L32" s="13"/>
      <c r="M32" s="13"/>
      <c r="N32" s="13"/>
      <c r="O32" s="13"/>
      <c r="P32" s="13"/>
    </row>
    <row r="33" ht="42" customHeight="1" spans="1:16">
      <c r="A33" s="10" t="s">
        <v>148</v>
      </c>
      <c r="B33" s="11">
        <v>1680</v>
      </c>
      <c r="C33" s="15" t="s">
        <v>174</v>
      </c>
      <c r="D33" s="13">
        <v>1500.63</v>
      </c>
      <c r="E33" s="13">
        <f t="shared" si="16"/>
        <v>179.37</v>
      </c>
      <c r="F33" s="13">
        <f t="shared" si="1"/>
        <v>89.3232142857143</v>
      </c>
      <c r="G33" s="14">
        <f t="shared" si="17"/>
        <v>1500.63</v>
      </c>
      <c r="H33" s="14">
        <f t="shared" si="2"/>
        <v>0</v>
      </c>
      <c r="I33" s="13"/>
      <c r="J33" s="13"/>
      <c r="K33" s="13"/>
      <c r="L33" s="13"/>
      <c r="M33" s="13"/>
      <c r="N33" s="13"/>
      <c r="O33" s="13">
        <v>1500.63</v>
      </c>
      <c r="P33" s="13"/>
    </row>
    <row r="34" ht="42" customHeight="1" spans="1:16">
      <c r="A34" s="10" t="s">
        <v>36</v>
      </c>
      <c r="B34" s="11">
        <v>300</v>
      </c>
      <c r="C34" s="15" t="s">
        <v>178</v>
      </c>
      <c r="D34" s="13"/>
      <c r="E34" s="13">
        <f t="shared" si="16"/>
        <v>300</v>
      </c>
      <c r="F34" s="13">
        <f t="shared" si="1"/>
        <v>0</v>
      </c>
      <c r="G34" s="14">
        <f t="shared" si="17"/>
        <v>0</v>
      </c>
      <c r="H34" s="14">
        <f t="shared" si="2"/>
        <v>0</v>
      </c>
      <c r="I34" s="13"/>
      <c r="J34" s="13"/>
      <c r="K34" s="13"/>
      <c r="L34" s="13"/>
      <c r="M34" s="13"/>
      <c r="N34" s="13"/>
      <c r="O34" s="13"/>
      <c r="P34" s="13"/>
    </row>
    <row r="35" ht="42" customHeight="1" spans="1:16">
      <c r="A35" s="205" t="s">
        <v>102</v>
      </c>
      <c r="B35" s="11">
        <f t="shared" ref="B35:G35" si="18">B36+B42</f>
        <v>3000</v>
      </c>
      <c r="C35" s="11">
        <f t="shared" si="18"/>
        <v>0</v>
      </c>
      <c r="D35" s="11">
        <f t="shared" si="18"/>
        <v>1500.66</v>
      </c>
      <c r="E35" s="11">
        <f t="shared" si="18"/>
        <v>1499.34</v>
      </c>
      <c r="F35" s="13">
        <f t="shared" si="1"/>
        <v>50.022</v>
      </c>
      <c r="G35" s="11">
        <f t="shared" si="18"/>
        <v>1500.66</v>
      </c>
      <c r="H35" s="14">
        <f t="shared" si="2"/>
        <v>1500.66</v>
      </c>
      <c r="I35" s="11">
        <f t="shared" ref="I35:P35" si="19">I36+I42</f>
        <v>0</v>
      </c>
      <c r="J35" s="11">
        <f t="shared" si="19"/>
        <v>901.6</v>
      </c>
      <c r="K35" s="11">
        <f t="shared" si="19"/>
        <v>340</v>
      </c>
      <c r="L35" s="11">
        <f t="shared" si="19"/>
        <v>229.06</v>
      </c>
      <c r="M35" s="11">
        <f t="shared" si="19"/>
        <v>30</v>
      </c>
      <c r="N35" s="11">
        <f t="shared" si="19"/>
        <v>0</v>
      </c>
      <c r="O35" s="11">
        <f t="shared" si="19"/>
        <v>0</v>
      </c>
      <c r="P35" s="11">
        <f t="shared" si="19"/>
        <v>0</v>
      </c>
    </row>
    <row r="36" ht="42" customHeight="1" spans="1:16">
      <c r="A36" s="180" t="s">
        <v>189</v>
      </c>
      <c r="B36" s="11">
        <f t="shared" ref="B36:G36" si="20">SUM(B37:B41)</f>
        <v>2350</v>
      </c>
      <c r="C36" s="11">
        <f t="shared" si="20"/>
        <v>0</v>
      </c>
      <c r="D36" s="11">
        <f t="shared" si="20"/>
        <v>1500.66</v>
      </c>
      <c r="E36" s="11">
        <f t="shared" si="20"/>
        <v>849.34</v>
      </c>
      <c r="F36" s="13">
        <f t="shared" si="1"/>
        <v>63.8578723404255</v>
      </c>
      <c r="G36" s="11">
        <f t="shared" si="20"/>
        <v>1500.66</v>
      </c>
      <c r="H36" s="14">
        <f t="shared" si="2"/>
        <v>1500.66</v>
      </c>
      <c r="I36" s="11">
        <f t="shared" ref="I36:P36" si="21">SUM(I37:I41)</f>
        <v>0</v>
      </c>
      <c r="J36" s="11">
        <f t="shared" si="21"/>
        <v>901.6</v>
      </c>
      <c r="K36" s="11">
        <f t="shared" si="21"/>
        <v>340</v>
      </c>
      <c r="L36" s="11">
        <f t="shared" si="21"/>
        <v>229.06</v>
      </c>
      <c r="M36" s="11">
        <f t="shared" si="21"/>
        <v>30</v>
      </c>
      <c r="N36" s="11">
        <f t="shared" si="21"/>
        <v>0</v>
      </c>
      <c r="O36" s="11">
        <f t="shared" si="21"/>
        <v>0</v>
      </c>
      <c r="P36" s="11">
        <f t="shared" si="21"/>
        <v>0</v>
      </c>
    </row>
    <row r="37" ht="42" customHeight="1" spans="1:16">
      <c r="A37" s="10" t="s">
        <v>150</v>
      </c>
      <c r="B37" s="11">
        <v>1020</v>
      </c>
      <c r="C37" s="12" t="s">
        <v>167</v>
      </c>
      <c r="D37" s="13">
        <v>901.6</v>
      </c>
      <c r="E37" s="13">
        <f t="shared" ref="E37:E47" si="22">B37-D37</f>
        <v>118.4</v>
      </c>
      <c r="F37" s="13">
        <f t="shared" si="1"/>
        <v>88.3921568627451</v>
      </c>
      <c r="G37" s="14">
        <f t="shared" ref="G37:G47" si="23">H37+O37+P37</f>
        <v>901.6</v>
      </c>
      <c r="H37" s="14">
        <f t="shared" si="2"/>
        <v>901.6</v>
      </c>
      <c r="I37" s="13">
        <v>0</v>
      </c>
      <c r="J37" s="13">
        <v>901.6</v>
      </c>
      <c r="K37" s="13"/>
      <c r="L37" s="13"/>
      <c r="M37" s="13"/>
      <c r="N37" s="13"/>
      <c r="O37" s="13"/>
      <c r="P37" s="13"/>
    </row>
    <row r="38" ht="42" customHeight="1" spans="1:16">
      <c r="A38" s="10" t="s">
        <v>37</v>
      </c>
      <c r="B38" s="11">
        <v>100</v>
      </c>
      <c r="C38" s="15" t="s">
        <v>168</v>
      </c>
      <c r="D38" s="13">
        <v>29.06</v>
      </c>
      <c r="E38" s="13">
        <f t="shared" si="22"/>
        <v>70.94</v>
      </c>
      <c r="F38" s="13">
        <f t="shared" si="1"/>
        <v>29.06</v>
      </c>
      <c r="G38" s="14">
        <f t="shared" si="23"/>
        <v>29.06</v>
      </c>
      <c r="H38" s="14">
        <f t="shared" si="2"/>
        <v>29.06</v>
      </c>
      <c r="I38" s="13">
        <v>0</v>
      </c>
      <c r="J38" s="13"/>
      <c r="K38" s="13"/>
      <c r="L38" s="13">
        <v>29.06</v>
      </c>
      <c r="M38" s="13"/>
      <c r="N38" s="13"/>
      <c r="O38" s="13"/>
      <c r="P38" s="13"/>
    </row>
    <row r="39" ht="42" customHeight="1" spans="1:16">
      <c r="A39" s="10" t="s">
        <v>150</v>
      </c>
      <c r="B39" s="11">
        <v>400</v>
      </c>
      <c r="C39" s="12" t="s">
        <v>164</v>
      </c>
      <c r="D39" s="13">
        <v>340</v>
      </c>
      <c r="E39" s="13">
        <f t="shared" si="22"/>
        <v>60</v>
      </c>
      <c r="F39" s="13">
        <f t="shared" si="1"/>
        <v>85</v>
      </c>
      <c r="G39" s="14">
        <f t="shared" si="23"/>
        <v>340</v>
      </c>
      <c r="H39" s="14">
        <f t="shared" si="2"/>
        <v>340</v>
      </c>
      <c r="I39" s="13"/>
      <c r="J39" s="13"/>
      <c r="K39" s="13">
        <v>340</v>
      </c>
      <c r="L39" s="13"/>
      <c r="M39" s="13"/>
      <c r="N39" s="13"/>
      <c r="O39" s="13"/>
      <c r="P39" s="13"/>
    </row>
    <row r="40" ht="42" customHeight="1" spans="1:16">
      <c r="A40" s="10" t="s">
        <v>37</v>
      </c>
      <c r="B40" s="11">
        <v>780</v>
      </c>
      <c r="C40" s="15" t="s">
        <v>163</v>
      </c>
      <c r="D40" s="13">
        <v>230</v>
      </c>
      <c r="E40" s="13">
        <f t="shared" si="22"/>
        <v>550</v>
      </c>
      <c r="F40" s="13">
        <f t="shared" si="1"/>
        <v>29.4871794871795</v>
      </c>
      <c r="G40" s="14">
        <f t="shared" si="23"/>
        <v>230</v>
      </c>
      <c r="H40" s="14">
        <f t="shared" si="2"/>
        <v>230</v>
      </c>
      <c r="I40" s="13"/>
      <c r="J40" s="13"/>
      <c r="K40" s="13"/>
      <c r="L40" s="13">
        <v>200</v>
      </c>
      <c r="M40" s="13">
        <v>30</v>
      </c>
      <c r="N40" s="13"/>
      <c r="O40" s="13"/>
      <c r="P40" s="13"/>
    </row>
    <row r="41" ht="42" customHeight="1" spans="1:16">
      <c r="A41" s="10" t="s">
        <v>150</v>
      </c>
      <c r="B41" s="11">
        <v>50</v>
      </c>
      <c r="C41" s="15" t="s">
        <v>169</v>
      </c>
      <c r="D41" s="13"/>
      <c r="E41" s="13">
        <f t="shared" si="22"/>
        <v>50</v>
      </c>
      <c r="F41" s="13">
        <f t="shared" si="1"/>
        <v>0</v>
      </c>
      <c r="G41" s="14">
        <f t="shared" si="23"/>
        <v>0</v>
      </c>
      <c r="H41" s="14">
        <f t="shared" si="2"/>
        <v>0</v>
      </c>
      <c r="I41" s="13">
        <v>0</v>
      </c>
      <c r="J41" s="13"/>
      <c r="K41" s="13"/>
      <c r="L41" s="13"/>
      <c r="M41" s="13"/>
      <c r="N41" s="13"/>
      <c r="O41" s="13"/>
      <c r="P41" s="13"/>
    </row>
    <row r="42" ht="42" customHeight="1" spans="1:16">
      <c r="A42" s="180" t="s">
        <v>190</v>
      </c>
      <c r="B42" s="11">
        <f>SUM(B43:B47)</f>
        <v>650</v>
      </c>
      <c r="C42" s="11">
        <f>SUM(C43:C47)</f>
        <v>0</v>
      </c>
      <c r="D42" s="13">
        <f>SUM(D43:D47)</f>
        <v>0</v>
      </c>
      <c r="E42" s="13">
        <f t="shared" si="22"/>
        <v>650</v>
      </c>
      <c r="F42" s="13">
        <f t="shared" si="1"/>
        <v>0</v>
      </c>
      <c r="G42" s="14">
        <f t="shared" si="23"/>
        <v>0</v>
      </c>
      <c r="H42" s="14">
        <f t="shared" si="2"/>
        <v>0</v>
      </c>
      <c r="I42" s="11">
        <f t="shared" ref="I42:P42" si="24">SUM(I43:I47)</f>
        <v>0</v>
      </c>
      <c r="J42" s="11">
        <f t="shared" si="24"/>
        <v>0</v>
      </c>
      <c r="K42" s="11">
        <f t="shared" si="24"/>
        <v>0</v>
      </c>
      <c r="L42" s="11">
        <f t="shared" si="24"/>
        <v>0</v>
      </c>
      <c r="M42" s="11">
        <f t="shared" si="24"/>
        <v>0</v>
      </c>
      <c r="N42" s="11">
        <f t="shared" si="24"/>
        <v>0</v>
      </c>
      <c r="O42" s="11">
        <f t="shared" si="24"/>
        <v>0</v>
      </c>
      <c r="P42" s="11">
        <f t="shared" si="24"/>
        <v>0</v>
      </c>
    </row>
    <row r="43" ht="42" customHeight="1" spans="1:16">
      <c r="A43" s="10" t="s">
        <v>191</v>
      </c>
      <c r="B43" s="11">
        <v>150</v>
      </c>
      <c r="C43" s="15" t="s">
        <v>192</v>
      </c>
      <c r="D43" s="13"/>
      <c r="E43" s="13">
        <f t="shared" si="22"/>
        <v>150</v>
      </c>
      <c r="F43" s="13">
        <f t="shared" si="1"/>
        <v>0</v>
      </c>
      <c r="G43" s="14">
        <f t="shared" si="23"/>
        <v>0</v>
      </c>
      <c r="H43" s="14">
        <f t="shared" si="2"/>
        <v>0</v>
      </c>
      <c r="I43" s="13"/>
      <c r="J43" s="13"/>
      <c r="K43" s="13"/>
      <c r="L43" s="13"/>
      <c r="M43" s="13"/>
      <c r="N43" s="13"/>
      <c r="O43" s="13"/>
      <c r="P43" s="13"/>
    </row>
    <row r="44" ht="42" customHeight="1" spans="1:16">
      <c r="A44" s="10" t="s">
        <v>150</v>
      </c>
      <c r="B44" s="11">
        <v>140</v>
      </c>
      <c r="C44" s="15" t="s">
        <v>193</v>
      </c>
      <c r="D44" s="13"/>
      <c r="E44" s="13">
        <f t="shared" si="22"/>
        <v>140</v>
      </c>
      <c r="F44" s="13">
        <f t="shared" si="1"/>
        <v>0</v>
      </c>
      <c r="G44" s="14">
        <f t="shared" si="23"/>
        <v>0</v>
      </c>
      <c r="H44" s="14">
        <f t="shared" si="2"/>
        <v>0</v>
      </c>
      <c r="I44" s="13"/>
      <c r="J44" s="13"/>
      <c r="K44" s="13"/>
      <c r="L44" s="13"/>
      <c r="M44" s="13"/>
      <c r="N44" s="13"/>
      <c r="O44" s="13"/>
      <c r="P44" s="13"/>
    </row>
    <row r="45" ht="42" customHeight="1" spans="1:16">
      <c r="A45" s="10" t="s">
        <v>150</v>
      </c>
      <c r="B45" s="11">
        <v>100</v>
      </c>
      <c r="C45" s="15" t="s">
        <v>194</v>
      </c>
      <c r="D45" s="13"/>
      <c r="E45" s="13">
        <f t="shared" si="22"/>
        <v>100</v>
      </c>
      <c r="F45" s="13">
        <f t="shared" si="1"/>
        <v>0</v>
      </c>
      <c r="G45" s="14">
        <f t="shared" si="23"/>
        <v>0</v>
      </c>
      <c r="H45" s="14">
        <f t="shared" si="2"/>
        <v>0</v>
      </c>
      <c r="I45" s="13"/>
      <c r="J45" s="13"/>
      <c r="K45" s="13"/>
      <c r="L45" s="13"/>
      <c r="M45" s="13"/>
      <c r="N45" s="13"/>
      <c r="O45" s="13"/>
      <c r="P45" s="13"/>
    </row>
    <row r="46" ht="42" customHeight="1" spans="1:16">
      <c r="A46" s="10" t="s">
        <v>195</v>
      </c>
      <c r="B46" s="11">
        <v>100</v>
      </c>
      <c r="C46" s="15" t="s">
        <v>196</v>
      </c>
      <c r="D46" s="13"/>
      <c r="E46" s="13">
        <f t="shared" si="22"/>
        <v>100</v>
      </c>
      <c r="F46" s="13">
        <f t="shared" si="1"/>
        <v>0</v>
      </c>
      <c r="G46" s="14">
        <f t="shared" si="23"/>
        <v>0</v>
      </c>
      <c r="H46" s="14">
        <f t="shared" si="2"/>
        <v>0</v>
      </c>
      <c r="I46" s="13"/>
      <c r="J46" s="13"/>
      <c r="K46" s="13"/>
      <c r="L46" s="13"/>
      <c r="M46" s="13"/>
      <c r="N46" s="13"/>
      <c r="O46" s="13"/>
      <c r="P46" s="13"/>
    </row>
    <row r="47" ht="42" customHeight="1" spans="1:16">
      <c r="A47" s="10" t="s">
        <v>197</v>
      </c>
      <c r="B47" s="11">
        <v>160</v>
      </c>
      <c r="C47" s="15" t="s">
        <v>198</v>
      </c>
      <c r="D47" s="13"/>
      <c r="E47" s="13">
        <f t="shared" si="22"/>
        <v>160</v>
      </c>
      <c r="F47" s="13">
        <f t="shared" si="1"/>
        <v>0</v>
      </c>
      <c r="G47" s="14">
        <f t="shared" si="23"/>
        <v>0</v>
      </c>
      <c r="H47" s="14">
        <f t="shared" si="2"/>
        <v>0</v>
      </c>
      <c r="I47" s="13"/>
      <c r="J47" s="13"/>
      <c r="K47" s="13"/>
      <c r="L47" s="13"/>
      <c r="M47" s="13"/>
      <c r="N47" s="13"/>
      <c r="O47" s="13"/>
      <c r="P47" s="13"/>
    </row>
    <row r="48" ht="43" customHeight="1" spans="1:16">
      <c r="A48" s="206" t="s">
        <v>27</v>
      </c>
      <c r="B48" s="177">
        <f t="shared" ref="B48:P48" si="25">B35+B6</f>
        <v>25351.5</v>
      </c>
      <c r="C48" s="177">
        <f t="shared" si="25"/>
        <v>0</v>
      </c>
      <c r="D48" s="178">
        <f t="shared" si="25"/>
        <v>17483.5</v>
      </c>
      <c r="E48" s="178">
        <f t="shared" si="25"/>
        <v>7868</v>
      </c>
      <c r="F48" s="178">
        <f t="shared" si="1"/>
        <v>68.9643610831706</v>
      </c>
      <c r="G48" s="178">
        <f t="shared" si="25"/>
        <v>17483.50263</v>
      </c>
      <c r="H48" s="178">
        <f t="shared" si="25"/>
        <v>15374.10163</v>
      </c>
      <c r="I48" s="178">
        <f t="shared" si="25"/>
        <v>4615.9</v>
      </c>
      <c r="J48" s="178">
        <f t="shared" si="25"/>
        <v>7404.6</v>
      </c>
      <c r="K48" s="178">
        <f t="shared" si="25"/>
        <v>1678.5</v>
      </c>
      <c r="L48" s="178">
        <f t="shared" si="25"/>
        <v>420.76</v>
      </c>
      <c r="M48" s="178">
        <f t="shared" si="25"/>
        <v>550</v>
      </c>
      <c r="N48" s="178">
        <f t="shared" si="25"/>
        <v>704.34163</v>
      </c>
      <c r="O48" s="178">
        <f t="shared" si="25"/>
        <v>2093.16</v>
      </c>
      <c r="P48" s="178">
        <f t="shared" si="25"/>
        <v>16.241</v>
      </c>
    </row>
    <row r="49" ht="43" customHeight="1" spans="1:16">
      <c r="A49" s="207" t="s">
        <v>201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</row>
    <row r="50" ht="40" customHeight="1" spans="1:16">
      <c r="A50" s="209" t="s">
        <v>170</v>
      </c>
      <c r="B50" s="210">
        <f t="shared" ref="B50:P50" si="26">SUM(B51:B63)</f>
        <v>25351.5</v>
      </c>
      <c r="C50" s="211"/>
      <c r="D50" s="211">
        <f t="shared" si="26"/>
        <v>17483.5</v>
      </c>
      <c r="E50" s="211">
        <f t="shared" si="26"/>
        <v>7868</v>
      </c>
      <c r="F50" s="211">
        <f t="shared" ref="F50:F63" si="27">D50/B50*100</f>
        <v>68.9643610831706</v>
      </c>
      <c r="G50" s="211">
        <f t="shared" si="26"/>
        <v>17483.50263</v>
      </c>
      <c r="H50" s="211">
        <f t="shared" si="26"/>
        <v>15374.10163</v>
      </c>
      <c r="I50" s="211">
        <f t="shared" si="26"/>
        <v>4615.9</v>
      </c>
      <c r="J50" s="211">
        <f t="shared" si="26"/>
        <v>7404.6</v>
      </c>
      <c r="K50" s="211">
        <f t="shared" si="26"/>
        <v>1678.5</v>
      </c>
      <c r="L50" s="211">
        <f t="shared" si="26"/>
        <v>420.76</v>
      </c>
      <c r="M50" s="211">
        <f t="shared" si="26"/>
        <v>550</v>
      </c>
      <c r="N50" s="211">
        <f t="shared" si="26"/>
        <v>704.34163</v>
      </c>
      <c r="O50" s="211">
        <f t="shared" si="26"/>
        <v>2093.16</v>
      </c>
      <c r="P50" s="211">
        <f t="shared" si="26"/>
        <v>16.241</v>
      </c>
    </row>
    <row r="51" ht="40" customHeight="1" spans="1:16">
      <c r="A51" s="10" t="s">
        <v>148</v>
      </c>
      <c r="B51" s="13">
        <f t="shared" ref="B51:P51" si="28">B9+B21+B33</f>
        <v>3177</v>
      </c>
      <c r="C51" s="13"/>
      <c r="D51" s="13">
        <f t="shared" si="28"/>
        <v>2093.16</v>
      </c>
      <c r="E51" s="13">
        <f t="shared" si="28"/>
        <v>1083.84</v>
      </c>
      <c r="F51" s="13">
        <f t="shared" si="27"/>
        <v>65.8847969782814</v>
      </c>
      <c r="G51" s="13">
        <f t="shared" si="28"/>
        <v>2093.16</v>
      </c>
      <c r="H51" s="13">
        <f t="shared" si="28"/>
        <v>0</v>
      </c>
      <c r="I51" s="13">
        <f t="shared" si="28"/>
        <v>0</v>
      </c>
      <c r="J51" s="13">
        <f t="shared" si="28"/>
        <v>0</v>
      </c>
      <c r="K51" s="13">
        <f t="shared" si="28"/>
        <v>0</v>
      </c>
      <c r="L51" s="13">
        <f t="shared" si="28"/>
        <v>0</v>
      </c>
      <c r="M51" s="13">
        <f t="shared" si="28"/>
        <v>0</v>
      </c>
      <c r="N51" s="13">
        <f t="shared" si="28"/>
        <v>0</v>
      </c>
      <c r="O51" s="13">
        <f t="shared" si="28"/>
        <v>2093.16</v>
      </c>
      <c r="P51" s="13">
        <f t="shared" si="28"/>
        <v>0</v>
      </c>
    </row>
    <row r="52" ht="40" customHeight="1" spans="1:16">
      <c r="A52" s="10" t="s">
        <v>150</v>
      </c>
      <c r="B52" s="13">
        <f t="shared" ref="B52:P52" si="29">B10+B16+B22+B29+B31+B44+B45+B26+B28+B37+B39+B41</f>
        <v>11849.5</v>
      </c>
      <c r="C52" s="13"/>
      <c r="D52" s="13">
        <f t="shared" si="29"/>
        <v>10826</v>
      </c>
      <c r="E52" s="13">
        <f t="shared" si="29"/>
        <v>1023.5</v>
      </c>
      <c r="F52" s="13">
        <f t="shared" si="27"/>
        <v>91.3625047470357</v>
      </c>
      <c r="G52" s="13">
        <f t="shared" si="29"/>
        <v>10826</v>
      </c>
      <c r="H52" s="13">
        <f t="shared" si="29"/>
        <v>10826</v>
      </c>
      <c r="I52" s="13">
        <f t="shared" si="29"/>
        <v>4615.9</v>
      </c>
      <c r="J52" s="13">
        <f t="shared" si="29"/>
        <v>4531.6</v>
      </c>
      <c r="K52" s="13">
        <f t="shared" si="29"/>
        <v>1678.5</v>
      </c>
      <c r="L52" s="13">
        <f t="shared" si="29"/>
        <v>0</v>
      </c>
      <c r="M52" s="13">
        <f t="shared" si="29"/>
        <v>0</v>
      </c>
      <c r="N52" s="13">
        <f t="shared" si="29"/>
        <v>0</v>
      </c>
      <c r="O52" s="13">
        <f t="shared" si="29"/>
        <v>0</v>
      </c>
      <c r="P52" s="13">
        <f t="shared" si="29"/>
        <v>0</v>
      </c>
    </row>
    <row r="53" ht="40" customHeight="1" spans="1:16">
      <c r="A53" s="10" t="s">
        <v>152</v>
      </c>
      <c r="B53" s="13">
        <f t="shared" ref="B53:P53" si="30">B11+B17+B23</f>
        <v>2453</v>
      </c>
      <c r="C53" s="13"/>
      <c r="D53" s="13">
        <f t="shared" si="30"/>
        <v>0</v>
      </c>
      <c r="E53" s="13">
        <f t="shared" si="30"/>
        <v>2453</v>
      </c>
      <c r="F53" s="13">
        <f t="shared" si="27"/>
        <v>0</v>
      </c>
      <c r="G53" s="13">
        <f t="shared" si="30"/>
        <v>0</v>
      </c>
      <c r="H53" s="13">
        <f t="shared" si="30"/>
        <v>0</v>
      </c>
      <c r="I53" s="13">
        <f t="shared" si="30"/>
        <v>0</v>
      </c>
      <c r="J53" s="13">
        <f t="shared" si="30"/>
        <v>0</v>
      </c>
      <c r="K53" s="13">
        <f t="shared" si="30"/>
        <v>0</v>
      </c>
      <c r="L53" s="13">
        <f t="shared" si="30"/>
        <v>0</v>
      </c>
      <c r="M53" s="13">
        <f t="shared" si="30"/>
        <v>0</v>
      </c>
      <c r="N53" s="13">
        <f t="shared" si="30"/>
        <v>0</v>
      </c>
      <c r="O53" s="13">
        <f t="shared" si="30"/>
        <v>0</v>
      </c>
      <c r="P53" s="13">
        <f t="shared" si="30"/>
        <v>0</v>
      </c>
    </row>
    <row r="54" ht="40" customHeight="1" spans="1:16">
      <c r="A54" s="10" t="s">
        <v>154</v>
      </c>
      <c r="B54" s="13">
        <f t="shared" ref="B54:P54" si="31">B12</f>
        <v>567</v>
      </c>
      <c r="C54" s="13"/>
      <c r="D54" s="13">
        <f t="shared" si="31"/>
        <v>567</v>
      </c>
      <c r="E54" s="13">
        <f t="shared" si="31"/>
        <v>0</v>
      </c>
      <c r="F54" s="13">
        <f t="shared" si="27"/>
        <v>100</v>
      </c>
      <c r="G54" s="13">
        <f t="shared" si="31"/>
        <v>567</v>
      </c>
      <c r="H54" s="13">
        <f t="shared" si="31"/>
        <v>567</v>
      </c>
      <c r="I54" s="13">
        <f t="shared" si="31"/>
        <v>0</v>
      </c>
      <c r="J54" s="13">
        <f t="shared" si="31"/>
        <v>0</v>
      </c>
      <c r="K54" s="13">
        <f t="shared" si="31"/>
        <v>0</v>
      </c>
      <c r="L54" s="13">
        <f t="shared" si="31"/>
        <v>0</v>
      </c>
      <c r="M54" s="13">
        <f t="shared" si="31"/>
        <v>0</v>
      </c>
      <c r="N54" s="13">
        <f t="shared" si="31"/>
        <v>567</v>
      </c>
      <c r="O54" s="13">
        <f t="shared" si="31"/>
        <v>0</v>
      </c>
      <c r="P54" s="13">
        <f t="shared" si="31"/>
        <v>0</v>
      </c>
    </row>
    <row r="55" ht="40" customHeight="1" spans="1:16">
      <c r="A55" s="10" t="s">
        <v>36</v>
      </c>
      <c r="B55" s="13">
        <f t="shared" ref="B55:P55" si="32">B13+B34</f>
        <v>856</v>
      </c>
      <c r="C55" s="13"/>
      <c r="D55" s="13">
        <f t="shared" si="32"/>
        <v>249.59</v>
      </c>
      <c r="E55" s="13">
        <f t="shared" si="32"/>
        <v>606.41</v>
      </c>
      <c r="F55" s="13">
        <f t="shared" si="27"/>
        <v>29.1577102803738</v>
      </c>
      <c r="G55" s="13">
        <f t="shared" si="32"/>
        <v>249.59388</v>
      </c>
      <c r="H55" s="13">
        <f t="shared" si="32"/>
        <v>233.35288</v>
      </c>
      <c r="I55" s="13">
        <f t="shared" si="32"/>
        <v>0</v>
      </c>
      <c r="J55" s="13">
        <f t="shared" si="32"/>
        <v>0</v>
      </c>
      <c r="K55" s="13">
        <f t="shared" si="32"/>
        <v>0</v>
      </c>
      <c r="L55" s="13">
        <f t="shared" si="32"/>
        <v>191.7</v>
      </c>
      <c r="M55" s="13">
        <f t="shared" si="32"/>
        <v>0</v>
      </c>
      <c r="N55" s="13">
        <f t="shared" si="32"/>
        <v>41.65288</v>
      </c>
      <c r="O55" s="13">
        <f t="shared" si="32"/>
        <v>0</v>
      </c>
      <c r="P55" s="13">
        <f t="shared" si="32"/>
        <v>16.241</v>
      </c>
    </row>
    <row r="56" ht="40" customHeight="1" spans="1:21">
      <c r="A56" s="10" t="s">
        <v>33</v>
      </c>
      <c r="B56" s="13">
        <f t="shared" ref="B56:P56" si="33">B14+B25</f>
        <v>3260</v>
      </c>
      <c r="C56" s="13"/>
      <c r="D56" s="13">
        <f t="shared" si="33"/>
        <v>2968.69</v>
      </c>
      <c r="E56" s="13">
        <f t="shared" si="33"/>
        <v>291.31</v>
      </c>
      <c r="F56" s="13">
        <f t="shared" si="27"/>
        <v>91.0641104294479</v>
      </c>
      <c r="G56" s="13">
        <f t="shared" si="33"/>
        <v>2968.68875</v>
      </c>
      <c r="H56" s="13">
        <f t="shared" si="33"/>
        <v>2968.68875</v>
      </c>
      <c r="I56" s="13">
        <f t="shared" si="33"/>
        <v>0</v>
      </c>
      <c r="J56" s="13">
        <f t="shared" si="33"/>
        <v>2873</v>
      </c>
      <c r="K56" s="13">
        <f t="shared" si="33"/>
        <v>0</v>
      </c>
      <c r="L56" s="13">
        <f t="shared" si="33"/>
        <v>0</v>
      </c>
      <c r="M56" s="13">
        <f t="shared" si="33"/>
        <v>0</v>
      </c>
      <c r="N56" s="13">
        <f t="shared" si="33"/>
        <v>95.68875</v>
      </c>
      <c r="O56" s="13">
        <f t="shared" si="33"/>
        <v>0</v>
      </c>
      <c r="P56" s="13">
        <f t="shared" si="33"/>
        <v>0</v>
      </c>
      <c r="U56" t="s">
        <v>179</v>
      </c>
    </row>
    <row r="57" ht="40" customHeight="1" spans="1:16">
      <c r="A57" s="10" t="s">
        <v>56</v>
      </c>
      <c r="B57" s="13">
        <f t="shared" ref="B57:P57" si="34">B18</f>
        <v>329</v>
      </c>
      <c r="C57" s="13"/>
      <c r="D57" s="13">
        <f t="shared" si="34"/>
        <v>0</v>
      </c>
      <c r="E57" s="13">
        <f t="shared" si="34"/>
        <v>329</v>
      </c>
      <c r="F57" s="13">
        <f t="shared" si="27"/>
        <v>0</v>
      </c>
      <c r="G57" s="13">
        <f t="shared" si="34"/>
        <v>0</v>
      </c>
      <c r="H57" s="13">
        <f t="shared" si="34"/>
        <v>0</v>
      </c>
      <c r="I57" s="13">
        <f t="shared" si="34"/>
        <v>0</v>
      </c>
      <c r="J57" s="13">
        <f t="shared" si="34"/>
        <v>0</v>
      </c>
      <c r="K57" s="13">
        <f t="shared" si="34"/>
        <v>0</v>
      </c>
      <c r="L57" s="13">
        <f t="shared" si="34"/>
        <v>0</v>
      </c>
      <c r="M57" s="13">
        <f t="shared" si="34"/>
        <v>0</v>
      </c>
      <c r="N57" s="13">
        <f t="shared" si="34"/>
        <v>0</v>
      </c>
      <c r="O57" s="13">
        <f t="shared" si="34"/>
        <v>0</v>
      </c>
      <c r="P57" s="13">
        <f t="shared" si="34"/>
        <v>0</v>
      </c>
    </row>
    <row r="58" ht="40" customHeight="1" spans="1:16">
      <c r="A58" s="10" t="s">
        <v>199</v>
      </c>
      <c r="B58" s="13">
        <f t="shared" ref="B58:P58" si="35">B19</f>
        <v>50</v>
      </c>
      <c r="C58" s="13"/>
      <c r="D58" s="13">
        <f t="shared" si="35"/>
        <v>0</v>
      </c>
      <c r="E58" s="13">
        <f t="shared" si="35"/>
        <v>50</v>
      </c>
      <c r="F58" s="13">
        <f t="shared" si="27"/>
        <v>0</v>
      </c>
      <c r="G58" s="13">
        <f t="shared" si="35"/>
        <v>0</v>
      </c>
      <c r="H58" s="13">
        <f t="shared" si="35"/>
        <v>0</v>
      </c>
      <c r="I58" s="13">
        <f t="shared" si="35"/>
        <v>0</v>
      </c>
      <c r="J58" s="13">
        <f t="shared" si="35"/>
        <v>0</v>
      </c>
      <c r="K58" s="13">
        <f t="shared" si="35"/>
        <v>0</v>
      </c>
      <c r="L58" s="13">
        <f t="shared" si="35"/>
        <v>0</v>
      </c>
      <c r="M58" s="13">
        <f t="shared" si="35"/>
        <v>0</v>
      </c>
      <c r="N58" s="13">
        <f t="shared" si="35"/>
        <v>0</v>
      </c>
      <c r="O58" s="13">
        <f t="shared" si="35"/>
        <v>0</v>
      </c>
      <c r="P58" s="13">
        <f t="shared" si="35"/>
        <v>0</v>
      </c>
    </row>
    <row r="59" ht="40" customHeight="1" spans="1:16">
      <c r="A59" s="10" t="s">
        <v>37</v>
      </c>
      <c r="B59" s="13">
        <f t="shared" ref="B59:P59" si="36">B27+B38+B40</f>
        <v>1400</v>
      </c>
      <c r="C59" s="13"/>
      <c r="D59" s="13">
        <f t="shared" si="36"/>
        <v>779.06</v>
      </c>
      <c r="E59" s="13">
        <f t="shared" si="36"/>
        <v>620.94</v>
      </c>
      <c r="F59" s="13">
        <f t="shared" si="27"/>
        <v>55.6471428571429</v>
      </c>
      <c r="G59" s="13">
        <f t="shared" si="36"/>
        <v>779.06</v>
      </c>
      <c r="H59" s="13">
        <f t="shared" si="36"/>
        <v>779.06</v>
      </c>
      <c r="I59" s="13">
        <f t="shared" si="36"/>
        <v>0</v>
      </c>
      <c r="J59" s="13">
        <f t="shared" si="36"/>
        <v>0</v>
      </c>
      <c r="K59" s="13">
        <f t="shared" si="36"/>
        <v>0</v>
      </c>
      <c r="L59" s="13">
        <f t="shared" si="36"/>
        <v>229.06</v>
      </c>
      <c r="M59" s="13">
        <f t="shared" si="36"/>
        <v>550</v>
      </c>
      <c r="N59" s="13">
        <f t="shared" si="36"/>
        <v>0</v>
      </c>
      <c r="O59" s="13">
        <f t="shared" si="36"/>
        <v>0</v>
      </c>
      <c r="P59" s="13">
        <f t="shared" si="36"/>
        <v>0</v>
      </c>
    </row>
    <row r="60" ht="40" customHeight="1" spans="1:16">
      <c r="A60" s="10" t="s">
        <v>191</v>
      </c>
      <c r="B60" s="13">
        <f t="shared" ref="B60:P60" si="37">B43</f>
        <v>150</v>
      </c>
      <c r="C60" s="13"/>
      <c r="D60" s="13">
        <f t="shared" si="37"/>
        <v>0</v>
      </c>
      <c r="E60" s="13">
        <f t="shared" si="37"/>
        <v>150</v>
      </c>
      <c r="F60" s="13">
        <f t="shared" si="27"/>
        <v>0</v>
      </c>
      <c r="G60" s="13">
        <f t="shared" si="37"/>
        <v>0</v>
      </c>
      <c r="H60" s="13">
        <f t="shared" si="37"/>
        <v>0</v>
      </c>
      <c r="I60" s="13">
        <f t="shared" si="37"/>
        <v>0</v>
      </c>
      <c r="J60" s="13">
        <f t="shared" si="37"/>
        <v>0</v>
      </c>
      <c r="K60" s="13">
        <f t="shared" si="37"/>
        <v>0</v>
      </c>
      <c r="L60" s="13">
        <f t="shared" si="37"/>
        <v>0</v>
      </c>
      <c r="M60" s="13">
        <f t="shared" si="37"/>
        <v>0</v>
      </c>
      <c r="N60" s="13">
        <f t="shared" si="37"/>
        <v>0</v>
      </c>
      <c r="O60" s="13">
        <f t="shared" si="37"/>
        <v>0</v>
      </c>
      <c r="P60" s="13">
        <f t="shared" si="37"/>
        <v>0</v>
      </c>
    </row>
    <row r="61" ht="38" customHeight="1" spans="1:16">
      <c r="A61" s="10" t="s">
        <v>195</v>
      </c>
      <c r="B61" s="13">
        <f t="shared" ref="B61:P61" si="38">B46</f>
        <v>100</v>
      </c>
      <c r="C61" s="13"/>
      <c r="D61" s="13">
        <f t="shared" si="38"/>
        <v>0</v>
      </c>
      <c r="E61" s="13">
        <f t="shared" si="38"/>
        <v>100</v>
      </c>
      <c r="F61" s="13">
        <f t="shared" si="27"/>
        <v>0</v>
      </c>
      <c r="G61" s="13">
        <f t="shared" si="38"/>
        <v>0</v>
      </c>
      <c r="H61" s="13">
        <f t="shared" si="38"/>
        <v>0</v>
      </c>
      <c r="I61" s="13">
        <f t="shared" si="38"/>
        <v>0</v>
      </c>
      <c r="J61" s="13">
        <f t="shared" si="38"/>
        <v>0</v>
      </c>
      <c r="K61" s="13">
        <f t="shared" si="38"/>
        <v>0</v>
      </c>
      <c r="L61" s="13">
        <f t="shared" si="38"/>
        <v>0</v>
      </c>
      <c r="M61" s="13">
        <f t="shared" si="38"/>
        <v>0</v>
      </c>
      <c r="N61" s="13">
        <f t="shared" si="38"/>
        <v>0</v>
      </c>
      <c r="O61" s="13">
        <f t="shared" si="38"/>
        <v>0</v>
      </c>
      <c r="P61" s="13">
        <f t="shared" si="38"/>
        <v>0</v>
      </c>
    </row>
    <row r="62" ht="38" customHeight="1" spans="1:16">
      <c r="A62" s="10" t="s">
        <v>35</v>
      </c>
      <c r="B62" s="13">
        <f t="shared" ref="B62:P62" si="39">B32</f>
        <v>1000</v>
      </c>
      <c r="C62" s="13"/>
      <c r="D62" s="13">
        <f t="shared" si="39"/>
        <v>0</v>
      </c>
      <c r="E62" s="13">
        <f t="shared" si="39"/>
        <v>1000</v>
      </c>
      <c r="F62" s="13">
        <f t="shared" si="27"/>
        <v>0</v>
      </c>
      <c r="G62" s="13">
        <f t="shared" si="39"/>
        <v>0</v>
      </c>
      <c r="H62" s="13">
        <f t="shared" si="39"/>
        <v>0</v>
      </c>
      <c r="I62" s="13">
        <f t="shared" si="39"/>
        <v>0</v>
      </c>
      <c r="J62" s="13">
        <f t="shared" si="39"/>
        <v>0</v>
      </c>
      <c r="K62" s="13">
        <f t="shared" si="39"/>
        <v>0</v>
      </c>
      <c r="L62" s="13">
        <f t="shared" si="39"/>
        <v>0</v>
      </c>
      <c r="M62" s="13">
        <f t="shared" si="39"/>
        <v>0</v>
      </c>
      <c r="N62" s="13">
        <f t="shared" si="39"/>
        <v>0</v>
      </c>
      <c r="O62" s="13">
        <f t="shared" si="39"/>
        <v>0</v>
      </c>
      <c r="P62" s="13">
        <f t="shared" si="39"/>
        <v>0</v>
      </c>
    </row>
    <row r="63" ht="38" customHeight="1" spans="1:16">
      <c r="A63" s="10" t="s">
        <v>197</v>
      </c>
      <c r="B63" s="13">
        <f t="shared" ref="B63:P63" si="40">B47</f>
        <v>160</v>
      </c>
      <c r="C63" s="13"/>
      <c r="D63" s="13">
        <f t="shared" si="40"/>
        <v>0</v>
      </c>
      <c r="E63" s="13">
        <f t="shared" si="40"/>
        <v>160</v>
      </c>
      <c r="F63" s="13">
        <f t="shared" si="27"/>
        <v>0</v>
      </c>
      <c r="G63" s="13">
        <f t="shared" si="40"/>
        <v>0</v>
      </c>
      <c r="H63" s="13">
        <f t="shared" si="40"/>
        <v>0</v>
      </c>
      <c r="I63" s="13">
        <f t="shared" si="40"/>
        <v>0</v>
      </c>
      <c r="J63" s="13">
        <f t="shared" si="40"/>
        <v>0</v>
      </c>
      <c r="K63" s="13">
        <f t="shared" si="40"/>
        <v>0</v>
      </c>
      <c r="L63" s="13">
        <f t="shared" si="40"/>
        <v>0</v>
      </c>
      <c r="M63" s="13">
        <f t="shared" si="40"/>
        <v>0</v>
      </c>
      <c r="N63" s="13">
        <f t="shared" si="40"/>
        <v>0</v>
      </c>
      <c r="O63" s="13">
        <f t="shared" si="40"/>
        <v>0</v>
      </c>
      <c r="P63" s="13">
        <f t="shared" si="40"/>
        <v>0</v>
      </c>
    </row>
  </sheetData>
  <mergeCells count="15">
    <mergeCell ref="A1:P1"/>
    <mergeCell ref="C2:K2"/>
    <mergeCell ref="O2:P2"/>
    <mergeCell ref="G3:P3"/>
    <mergeCell ref="H4:N4"/>
    <mergeCell ref="A49:P49"/>
    <mergeCell ref="A3:A5"/>
    <mergeCell ref="B3:B5"/>
    <mergeCell ref="C3:C5"/>
    <mergeCell ref="D3:D5"/>
    <mergeCell ref="E3:E5"/>
    <mergeCell ref="F3:F5"/>
    <mergeCell ref="G4:G5"/>
    <mergeCell ref="O4:O5"/>
    <mergeCell ref="P4:P5"/>
  </mergeCells>
  <pageMargins left="0.609027777777778" right="0.354166666666667" top="0.393055555555556" bottom="0.196527777777778" header="0.511805555555556" footer="0.511805555555556"/>
  <pageSetup paperSize="9" scale="52" fitToHeight="0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showZeros="0" zoomScale="72" zoomScaleNormal="72" workbookViewId="0">
      <pane xSplit="1" ySplit="5" topLeftCell="B6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34.8916666666667" customWidth="1"/>
    <col min="2" max="2" width="13.1833333333333" customWidth="1"/>
    <col min="3" max="3" width="35.5916666666667" customWidth="1"/>
    <col min="4" max="4" width="13.1916666666667" customWidth="1"/>
    <col min="5" max="5" width="12.0833333333333" customWidth="1"/>
    <col min="6" max="6" width="10.75" customWidth="1"/>
    <col min="7" max="7" width="13.025" customWidth="1"/>
    <col min="8" max="8" width="13.1916666666667" customWidth="1"/>
    <col min="9" max="9" width="12.25" customWidth="1"/>
    <col min="10" max="10" width="12.9166666666667" customWidth="1"/>
    <col min="11" max="11" width="13.1666666666667" customWidth="1"/>
    <col min="12" max="12" width="10.5916666666667" customWidth="1"/>
    <col min="13" max="13" width="11.25" customWidth="1"/>
    <col min="14" max="14" width="12.5" customWidth="1"/>
    <col min="15" max="15" width="12.15" customWidth="1"/>
    <col min="16" max="16" width="10.75" customWidth="1"/>
  </cols>
  <sheetData>
    <row r="1" ht="38" customHeight="1" spans="1:16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8" customHeight="1" spans="1:16">
      <c r="A2" s="2" t="s">
        <v>118</v>
      </c>
      <c r="B2" s="3"/>
      <c r="C2" s="4" t="s">
        <v>202</v>
      </c>
      <c r="D2" s="4"/>
      <c r="E2" s="4"/>
      <c r="F2" s="4"/>
      <c r="G2" s="4"/>
      <c r="H2" s="4"/>
      <c r="I2" s="4"/>
      <c r="J2" s="4"/>
      <c r="K2" s="4"/>
      <c r="L2" s="16"/>
      <c r="M2" s="16"/>
      <c r="N2" s="16"/>
      <c r="O2" s="17" t="s">
        <v>3</v>
      </c>
      <c r="P2" s="17"/>
    </row>
    <row r="3" ht="23" customHeight="1" spans="1:16">
      <c r="A3" s="174" t="s">
        <v>134</v>
      </c>
      <c r="B3" s="174" t="s">
        <v>135</v>
      </c>
      <c r="C3" s="174" t="s">
        <v>62</v>
      </c>
      <c r="D3" s="175" t="s">
        <v>136</v>
      </c>
      <c r="E3" s="175" t="s">
        <v>137</v>
      </c>
      <c r="F3" s="175" t="s">
        <v>7</v>
      </c>
      <c r="G3" s="174" t="s">
        <v>65</v>
      </c>
      <c r="H3" s="174"/>
      <c r="I3" s="174"/>
      <c r="J3" s="174"/>
      <c r="K3" s="174"/>
      <c r="L3" s="174"/>
      <c r="M3" s="174"/>
      <c r="N3" s="174"/>
      <c r="O3" s="174"/>
      <c r="P3" s="174"/>
    </row>
    <row r="4" ht="23" customHeight="1" spans="1:16">
      <c r="A4" s="174"/>
      <c r="B4" s="174"/>
      <c r="C4" s="174"/>
      <c r="D4" s="175"/>
      <c r="E4" s="175"/>
      <c r="F4" s="175"/>
      <c r="G4" s="174" t="s">
        <v>138</v>
      </c>
      <c r="H4" s="174" t="s">
        <v>139</v>
      </c>
      <c r="I4" s="174"/>
      <c r="J4" s="174"/>
      <c r="K4" s="174"/>
      <c r="L4" s="174"/>
      <c r="M4" s="174"/>
      <c r="N4" s="174"/>
      <c r="O4" s="181" t="s">
        <v>140</v>
      </c>
      <c r="P4" s="174" t="s">
        <v>141</v>
      </c>
    </row>
    <row r="5" ht="23" customHeight="1" spans="1:16">
      <c r="A5" s="174"/>
      <c r="B5" s="174"/>
      <c r="C5" s="174"/>
      <c r="D5" s="175"/>
      <c r="E5" s="175"/>
      <c r="F5" s="175"/>
      <c r="G5" s="174"/>
      <c r="H5" s="174" t="s">
        <v>66</v>
      </c>
      <c r="I5" s="174" t="s">
        <v>142</v>
      </c>
      <c r="J5" s="174" t="s">
        <v>143</v>
      </c>
      <c r="K5" s="174" t="s">
        <v>144</v>
      </c>
      <c r="L5" s="175" t="s">
        <v>69</v>
      </c>
      <c r="M5" s="175" t="s">
        <v>145</v>
      </c>
      <c r="N5" s="174" t="s">
        <v>131</v>
      </c>
      <c r="O5" s="181"/>
      <c r="P5" s="174"/>
    </row>
    <row r="6" ht="42" customHeight="1" spans="1:16">
      <c r="A6" s="203" t="s">
        <v>93</v>
      </c>
      <c r="B6" s="204">
        <f t="shared" ref="B6:G6" si="0">B7+B20+B24+B30</f>
        <v>22351.5</v>
      </c>
      <c r="C6" s="204">
        <f t="shared" si="0"/>
        <v>0</v>
      </c>
      <c r="D6" s="179">
        <f t="shared" si="0"/>
        <v>15982.84</v>
      </c>
      <c r="E6" s="179">
        <f t="shared" si="0"/>
        <v>6368.66</v>
      </c>
      <c r="F6" s="178">
        <f t="shared" ref="F6:F48" si="1">D6/B6*100</f>
        <v>71.5067892535177</v>
      </c>
      <c r="G6" s="179">
        <f t="shared" si="0"/>
        <v>15982.84263</v>
      </c>
      <c r="H6" s="179">
        <f t="shared" ref="H6:H47" si="2">SUM(I6:N6)</f>
        <v>13873.44163</v>
      </c>
      <c r="I6" s="179">
        <f t="shared" ref="I6:P6" si="3">SUM(I7,I20,I24,I30)</f>
        <v>4615.9</v>
      </c>
      <c r="J6" s="179">
        <f t="shared" si="3"/>
        <v>6503</v>
      </c>
      <c r="K6" s="179">
        <f t="shared" si="3"/>
        <v>1338.5</v>
      </c>
      <c r="L6" s="179">
        <f t="shared" si="3"/>
        <v>191.7</v>
      </c>
      <c r="M6" s="179">
        <f t="shared" si="3"/>
        <v>520</v>
      </c>
      <c r="N6" s="179">
        <f t="shared" si="3"/>
        <v>704.34163</v>
      </c>
      <c r="O6" s="179">
        <f t="shared" si="3"/>
        <v>2093.16</v>
      </c>
      <c r="P6" s="179">
        <f t="shared" si="3"/>
        <v>16.241</v>
      </c>
    </row>
    <row r="7" ht="42" customHeight="1" spans="1:16">
      <c r="A7" s="185" t="s">
        <v>180</v>
      </c>
      <c r="B7" s="186">
        <f>B8+B15+B18+B19</f>
        <v>12239</v>
      </c>
      <c r="C7" s="186"/>
      <c r="D7" s="186">
        <f>D8+D15+D18+D19</f>
        <v>8365.18</v>
      </c>
      <c r="E7" s="186">
        <f>E8+E15+E18+E19</f>
        <v>3873.82</v>
      </c>
      <c r="F7" s="13">
        <f t="shared" si="1"/>
        <v>68.3485578887164</v>
      </c>
      <c r="G7" s="14">
        <f>SUM(G8,G15,G18,G19)</f>
        <v>8365.18263</v>
      </c>
      <c r="H7" s="14">
        <f t="shared" si="2"/>
        <v>8180.94163</v>
      </c>
      <c r="I7" s="14">
        <f t="shared" ref="I7:N7" si="4">SUM(I8,I18,I19)</f>
        <v>4615.9</v>
      </c>
      <c r="J7" s="14">
        <f t="shared" si="4"/>
        <v>2669</v>
      </c>
      <c r="K7" s="14">
        <f t="shared" si="4"/>
        <v>0</v>
      </c>
      <c r="L7" s="14">
        <f t="shared" si="4"/>
        <v>191.7</v>
      </c>
      <c r="M7" s="14">
        <f t="shared" si="4"/>
        <v>0</v>
      </c>
      <c r="N7" s="14">
        <f t="shared" si="4"/>
        <v>704.34163</v>
      </c>
      <c r="O7" s="14">
        <f>O8+O19+O18</f>
        <v>168</v>
      </c>
      <c r="P7" s="14">
        <f>SUM(P8,P18,P19)</f>
        <v>16.241</v>
      </c>
    </row>
    <row r="8" ht="42" customHeight="1" spans="1:16">
      <c r="A8" s="180" t="s">
        <v>181</v>
      </c>
      <c r="B8" s="186">
        <f t="shared" ref="B8:G8" si="5">SUM(B9:B14)</f>
        <v>11036</v>
      </c>
      <c r="C8" s="187"/>
      <c r="D8" s="14">
        <f t="shared" si="5"/>
        <v>8365.18</v>
      </c>
      <c r="E8" s="14">
        <f t="shared" si="5"/>
        <v>2670.82</v>
      </c>
      <c r="F8" s="13">
        <f t="shared" si="1"/>
        <v>75.7990213845596</v>
      </c>
      <c r="G8" s="14">
        <f t="shared" si="5"/>
        <v>8365.18263</v>
      </c>
      <c r="H8" s="14">
        <f t="shared" si="2"/>
        <v>8180.94163</v>
      </c>
      <c r="I8" s="14">
        <f t="shared" ref="I8:P8" si="6">SUM(I9:I14)</f>
        <v>4615.9</v>
      </c>
      <c r="J8" s="14">
        <f t="shared" si="6"/>
        <v>2669</v>
      </c>
      <c r="K8" s="14">
        <f t="shared" si="6"/>
        <v>0</v>
      </c>
      <c r="L8" s="14">
        <f t="shared" si="6"/>
        <v>191.7</v>
      </c>
      <c r="M8" s="14">
        <f t="shared" si="6"/>
        <v>0</v>
      </c>
      <c r="N8" s="14">
        <f t="shared" si="6"/>
        <v>704.34163</v>
      </c>
      <c r="O8" s="14">
        <f t="shared" si="6"/>
        <v>168</v>
      </c>
      <c r="P8" s="14">
        <f t="shared" si="6"/>
        <v>16.241</v>
      </c>
    </row>
    <row r="9" ht="42" customHeight="1" spans="1:16">
      <c r="A9" s="10" t="s">
        <v>148</v>
      </c>
      <c r="B9" s="11">
        <v>168</v>
      </c>
      <c r="C9" s="15" t="s">
        <v>149</v>
      </c>
      <c r="D9" s="13">
        <v>168</v>
      </c>
      <c r="E9" s="13">
        <f t="shared" ref="E9:E23" si="7">B9-D9</f>
        <v>0</v>
      </c>
      <c r="F9" s="13">
        <f t="shared" si="1"/>
        <v>100</v>
      </c>
      <c r="G9" s="13">
        <f t="shared" ref="G9:G23" si="8">SUM(I9:P9)</f>
        <v>168</v>
      </c>
      <c r="H9" s="14">
        <f t="shared" si="2"/>
        <v>0</v>
      </c>
      <c r="I9" s="13"/>
      <c r="J9" s="13"/>
      <c r="K9" s="13"/>
      <c r="L9" s="196"/>
      <c r="M9" s="196"/>
      <c r="N9" s="196"/>
      <c r="O9" s="13">
        <v>168</v>
      </c>
      <c r="P9" s="13"/>
    </row>
    <row r="10" ht="42" customHeight="1" spans="1:16">
      <c r="A10" s="10" t="s">
        <v>150</v>
      </c>
      <c r="B10" s="11">
        <v>4631</v>
      </c>
      <c r="C10" s="39" t="s">
        <v>151</v>
      </c>
      <c r="D10" s="13">
        <v>4615.9</v>
      </c>
      <c r="E10" s="13">
        <f t="shared" si="7"/>
        <v>15.1000000000004</v>
      </c>
      <c r="F10" s="13">
        <f t="shared" si="1"/>
        <v>99.6739365147916</v>
      </c>
      <c r="G10" s="13">
        <f t="shared" si="8"/>
        <v>4615.9</v>
      </c>
      <c r="H10" s="14">
        <f t="shared" si="2"/>
        <v>4615.9</v>
      </c>
      <c r="I10" s="13">
        <v>4615.9</v>
      </c>
      <c r="J10" s="13"/>
      <c r="K10" s="13"/>
      <c r="L10" s="13"/>
      <c r="M10" s="13"/>
      <c r="N10" s="13"/>
      <c r="O10" s="13"/>
      <c r="P10" s="13"/>
    </row>
    <row r="11" ht="42" customHeight="1" spans="1:16">
      <c r="A11" s="10" t="s">
        <v>152</v>
      </c>
      <c r="B11" s="11">
        <v>2058</v>
      </c>
      <c r="C11" s="15" t="s">
        <v>153</v>
      </c>
      <c r="D11" s="13"/>
      <c r="E11" s="13">
        <f t="shared" si="7"/>
        <v>2058</v>
      </c>
      <c r="F11" s="13">
        <f t="shared" si="1"/>
        <v>0</v>
      </c>
      <c r="G11" s="13">
        <f t="shared" si="8"/>
        <v>0</v>
      </c>
      <c r="H11" s="14">
        <f t="shared" si="2"/>
        <v>0</v>
      </c>
      <c r="I11" s="13"/>
      <c r="J11" s="13"/>
      <c r="K11" s="13"/>
      <c r="L11" s="13"/>
      <c r="M11" s="13"/>
      <c r="N11" s="13"/>
      <c r="O11" s="13"/>
      <c r="P11" s="13"/>
    </row>
    <row r="12" ht="42" customHeight="1" spans="1:16">
      <c r="A12" s="10" t="s">
        <v>154</v>
      </c>
      <c r="B12" s="11">
        <v>567</v>
      </c>
      <c r="C12" s="15" t="s">
        <v>155</v>
      </c>
      <c r="D12" s="13">
        <v>567</v>
      </c>
      <c r="E12" s="13">
        <f t="shared" si="7"/>
        <v>0</v>
      </c>
      <c r="F12" s="13">
        <f t="shared" si="1"/>
        <v>100</v>
      </c>
      <c r="G12" s="13">
        <f t="shared" si="8"/>
        <v>567</v>
      </c>
      <c r="H12" s="14">
        <f t="shared" si="2"/>
        <v>567</v>
      </c>
      <c r="I12" s="196"/>
      <c r="J12" s="13"/>
      <c r="K12" s="13"/>
      <c r="L12" s="13"/>
      <c r="M12" s="13"/>
      <c r="N12" s="13">
        <v>567</v>
      </c>
      <c r="O12" s="13"/>
      <c r="P12" s="13"/>
    </row>
    <row r="13" ht="42" customHeight="1" spans="1:16">
      <c r="A13" s="10" t="s">
        <v>36</v>
      </c>
      <c r="B13" s="11">
        <f>176+380</f>
        <v>556</v>
      </c>
      <c r="C13" s="39" t="s">
        <v>156</v>
      </c>
      <c r="D13" s="13">
        <v>249.59</v>
      </c>
      <c r="E13" s="13">
        <f t="shared" si="7"/>
        <v>306.41</v>
      </c>
      <c r="F13" s="13">
        <f t="shared" si="1"/>
        <v>44.8902877697842</v>
      </c>
      <c r="G13" s="13">
        <f t="shared" si="8"/>
        <v>249.59388</v>
      </c>
      <c r="H13" s="14">
        <f t="shared" si="2"/>
        <v>233.35288</v>
      </c>
      <c r="I13" s="13"/>
      <c r="J13" s="13"/>
      <c r="K13" s="13"/>
      <c r="L13" s="13">
        <v>191.7</v>
      </c>
      <c r="M13" s="13"/>
      <c r="N13" s="13">
        <v>41.65288</v>
      </c>
      <c r="O13" s="13"/>
      <c r="P13" s="13">
        <v>16.241</v>
      </c>
    </row>
    <row r="14" ht="42" customHeight="1" spans="1:16">
      <c r="A14" s="10" t="s">
        <v>33</v>
      </c>
      <c r="B14" s="11">
        <f>387+2669</f>
        <v>3056</v>
      </c>
      <c r="C14" s="15" t="s">
        <v>157</v>
      </c>
      <c r="D14" s="13">
        <f>2669+95.69</f>
        <v>2764.69</v>
      </c>
      <c r="E14" s="13">
        <f t="shared" si="7"/>
        <v>291.31</v>
      </c>
      <c r="F14" s="13">
        <f t="shared" si="1"/>
        <v>90.4676047120419</v>
      </c>
      <c r="G14" s="13">
        <f t="shared" si="8"/>
        <v>2764.68875</v>
      </c>
      <c r="H14" s="14">
        <f t="shared" si="2"/>
        <v>2764.68875</v>
      </c>
      <c r="I14" s="13"/>
      <c r="J14" s="13">
        <v>2669</v>
      </c>
      <c r="K14" s="13"/>
      <c r="L14" s="13"/>
      <c r="M14" s="13"/>
      <c r="N14" s="13">
        <v>95.68875</v>
      </c>
      <c r="O14" s="13"/>
      <c r="P14" s="13"/>
    </row>
    <row r="15" ht="42" customHeight="1" spans="1:16">
      <c r="A15" s="180" t="s">
        <v>182</v>
      </c>
      <c r="B15" s="11">
        <f>B16+B17</f>
        <v>824</v>
      </c>
      <c r="C15" s="15"/>
      <c r="D15" s="13"/>
      <c r="E15" s="13">
        <f t="shared" si="7"/>
        <v>824</v>
      </c>
      <c r="F15" s="13">
        <f t="shared" si="1"/>
        <v>0</v>
      </c>
      <c r="G15" s="13">
        <f t="shared" si="8"/>
        <v>0</v>
      </c>
      <c r="H15" s="14">
        <f t="shared" si="2"/>
        <v>0</v>
      </c>
      <c r="I15" s="13"/>
      <c r="J15" s="13"/>
      <c r="K15" s="13"/>
      <c r="L15" s="13"/>
      <c r="M15" s="13"/>
      <c r="N15" s="13"/>
      <c r="O15" s="13"/>
      <c r="P15" s="13"/>
    </row>
    <row r="16" ht="42" customHeight="1" spans="1:16">
      <c r="A16" s="10" t="s">
        <v>150</v>
      </c>
      <c r="B16" s="11">
        <v>500</v>
      </c>
      <c r="C16" s="15" t="s">
        <v>164</v>
      </c>
      <c r="D16" s="13"/>
      <c r="E16" s="13">
        <f t="shared" si="7"/>
        <v>500</v>
      </c>
      <c r="F16" s="13">
        <f t="shared" si="1"/>
        <v>0</v>
      </c>
      <c r="G16" s="13">
        <f t="shared" si="8"/>
        <v>0</v>
      </c>
      <c r="H16" s="14">
        <f t="shared" si="2"/>
        <v>0</v>
      </c>
      <c r="I16" s="13"/>
      <c r="J16" s="13"/>
      <c r="K16" s="13"/>
      <c r="L16" s="13"/>
      <c r="M16" s="13"/>
      <c r="N16" s="13"/>
      <c r="O16" s="13"/>
      <c r="P16" s="13"/>
    </row>
    <row r="17" ht="42" customHeight="1" spans="1:16">
      <c r="A17" s="10" t="s">
        <v>152</v>
      </c>
      <c r="B17" s="11">
        <v>324</v>
      </c>
      <c r="C17" s="15" t="s">
        <v>155</v>
      </c>
      <c r="D17" s="13"/>
      <c r="E17" s="13">
        <f t="shared" si="7"/>
        <v>324</v>
      </c>
      <c r="F17" s="13">
        <f t="shared" si="1"/>
        <v>0</v>
      </c>
      <c r="G17" s="13">
        <f t="shared" si="8"/>
        <v>0</v>
      </c>
      <c r="H17" s="14">
        <f t="shared" si="2"/>
        <v>0</v>
      </c>
      <c r="I17" s="13"/>
      <c r="J17" s="13"/>
      <c r="K17" s="13"/>
      <c r="L17" s="13"/>
      <c r="M17" s="13"/>
      <c r="N17" s="13"/>
      <c r="O17" s="13"/>
      <c r="P17" s="13"/>
    </row>
    <row r="18" ht="42" customHeight="1" spans="1:16">
      <c r="A18" s="180" t="s">
        <v>183</v>
      </c>
      <c r="B18" s="11">
        <v>329</v>
      </c>
      <c r="C18" s="15" t="s">
        <v>159</v>
      </c>
      <c r="D18" s="13">
        <v>0</v>
      </c>
      <c r="E18" s="13">
        <f t="shared" si="7"/>
        <v>329</v>
      </c>
      <c r="F18" s="13">
        <f t="shared" si="1"/>
        <v>0</v>
      </c>
      <c r="G18" s="13">
        <f t="shared" si="8"/>
        <v>0</v>
      </c>
      <c r="H18" s="14">
        <f t="shared" si="2"/>
        <v>0</v>
      </c>
      <c r="I18" s="13">
        <v>0</v>
      </c>
      <c r="J18" s="13"/>
      <c r="K18" s="13"/>
      <c r="L18" s="13"/>
      <c r="M18" s="13"/>
      <c r="N18" s="13"/>
      <c r="O18" s="13"/>
      <c r="P18" s="13"/>
    </row>
    <row r="19" ht="42" customHeight="1" spans="1:16">
      <c r="A19" s="180" t="s">
        <v>184</v>
      </c>
      <c r="B19" s="11">
        <v>50</v>
      </c>
      <c r="C19" s="15" t="s">
        <v>161</v>
      </c>
      <c r="D19" s="13">
        <v>0</v>
      </c>
      <c r="E19" s="13">
        <f t="shared" si="7"/>
        <v>50</v>
      </c>
      <c r="F19" s="13">
        <f t="shared" si="1"/>
        <v>0</v>
      </c>
      <c r="G19" s="13">
        <f t="shared" si="8"/>
        <v>0</v>
      </c>
      <c r="H19" s="14">
        <f t="shared" si="2"/>
        <v>0</v>
      </c>
      <c r="I19" s="13"/>
      <c r="J19" s="13"/>
      <c r="K19" s="13"/>
      <c r="L19" s="13"/>
      <c r="M19" s="13"/>
      <c r="N19" s="13"/>
      <c r="O19" s="13"/>
      <c r="P19" s="13">
        <v>0</v>
      </c>
    </row>
    <row r="20" ht="42" customHeight="1" spans="1:16">
      <c r="A20" s="185" t="s">
        <v>185</v>
      </c>
      <c r="B20" s="11">
        <f>B21+B22+B23</f>
        <v>4255</v>
      </c>
      <c r="C20" s="15"/>
      <c r="D20" s="13">
        <f>D21+D22+D23</f>
        <v>3279.53</v>
      </c>
      <c r="E20" s="13">
        <f t="shared" si="7"/>
        <v>975.47</v>
      </c>
      <c r="F20" s="13">
        <f t="shared" si="1"/>
        <v>77.0747356051704</v>
      </c>
      <c r="G20" s="13">
        <f t="shared" si="8"/>
        <v>3279.53</v>
      </c>
      <c r="H20" s="14">
        <f t="shared" si="2"/>
        <v>2855</v>
      </c>
      <c r="I20" s="13">
        <f t="shared" ref="I20:P20" si="9">I21+I22+I23</f>
        <v>0</v>
      </c>
      <c r="J20" s="13">
        <f t="shared" si="9"/>
        <v>2855</v>
      </c>
      <c r="K20" s="13">
        <f t="shared" si="9"/>
        <v>0</v>
      </c>
      <c r="L20" s="13">
        <f t="shared" si="9"/>
        <v>0</v>
      </c>
      <c r="M20" s="13">
        <f t="shared" si="9"/>
        <v>0</v>
      </c>
      <c r="N20" s="13">
        <f t="shared" si="9"/>
        <v>0</v>
      </c>
      <c r="O20" s="13">
        <f t="shared" si="9"/>
        <v>424.53</v>
      </c>
      <c r="P20" s="13">
        <f t="shared" si="9"/>
        <v>0</v>
      </c>
    </row>
    <row r="21" ht="42" customHeight="1" spans="1:16">
      <c r="A21" s="10" t="s">
        <v>148</v>
      </c>
      <c r="B21" s="11">
        <v>1329</v>
      </c>
      <c r="C21" s="15" t="s">
        <v>174</v>
      </c>
      <c r="D21" s="13">
        <v>424.53</v>
      </c>
      <c r="E21" s="13">
        <f t="shared" si="7"/>
        <v>904.47</v>
      </c>
      <c r="F21" s="13">
        <f t="shared" si="1"/>
        <v>31.9435665914221</v>
      </c>
      <c r="G21" s="13">
        <f t="shared" si="8"/>
        <v>424.53</v>
      </c>
      <c r="H21" s="14">
        <f t="shared" si="2"/>
        <v>0</v>
      </c>
      <c r="I21" s="13"/>
      <c r="J21" s="13"/>
      <c r="K21" s="13"/>
      <c r="L21" s="13"/>
      <c r="M21" s="13"/>
      <c r="N21" s="13"/>
      <c r="O21" s="13">
        <v>424.53</v>
      </c>
      <c r="P21" s="13"/>
    </row>
    <row r="22" ht="42" customHeight="1" spans="1:16">
      <c r="A22" s="10" t="s">
        <v>150</v>
      </c>
      <c r="B22" s="11">
        <v>2855</v>
      </c>
      <c r="C22" s="15" t="s">
        <v>175</v>
      </c>
      <c r="D22" s="13">
        <v>2855</v>
      </c>
      <c r="E22" s="13">
        <f t="shared" si="7"/>
        <v>0</v>
      </c>
      <c r="F22" s="13">
        <f t="shared" si="1"/>
        <v>100</v>
      </c>
      <c r="G22" s="13">
        <f t="shared" si="8"/>
        <v>2855</v>
      </c>
      <c r="H22" s="14">
        <f t="shared" si="2"/>
        <v>2855</v>
      </c>
      <c r="I22" s="13"/>
      <c r="J22" s="13">
        <v>2855</v>
      </c>
      <c r="K22" s="13"/>
      <c r="L22" s="13"/>
      <c r="M22" s="13"/>
      <c r="N22" s="13"/>
      <c r="O22" s="13"/>
      <c r="P22" s="13"/>
    </row>
    <row r="23" ht="42" customHeight="1" spans="1:16">
      <c r="A23" s="10" t="s">
        <v>152</v>
      </c>
      <c r="B23" s="11">
        <v>71</v>
      </c>
      <c r="C23" s="15" t="s">
        <v>155</v>
      </c>
      <c r="D23" s="13"/>
      <c r="E23" s="13">
        <f t="shared" si="7"/>
        <v>71</v>
      </c>
      <c r="F23" s="13">
        <f t="shared" si="1"/>
        <v>0</v>
      </c>
      <c r="G23" s="13">
        <f t="shared" si="8"/>
        <v>0</v>
      </c>
      <c r="H23" s="14">
        <f t="shared" si="2"/>
        <v>0</v>
      </c>
      <c r="I23" s="13"/>
      <c r="J23" s="13"/>
      <c r="K23" s="13"/>
      <c r="L23" s="13"/>
      <c r="M23" s="13"/>
      <c r="N23" s="13"/>
      <c r="O23" s="13"/>
      <c r="P23" s="13"/>
    </row>
    <row r="24" ht="42" customHeight="1" spans="1:16">
      <c r="A24" s="188" t="s">
        <v>186</v>
      </c>
      <c r="B24" s="11">
        <f t="shared" ref="B24:G24" si="10">SUM(B25:B29)</f>
        <v>2857.5</v>
      </c>
      <c r="C24" s="189"/>
      <c r="D24" s="13">
        <f t="shared" si="10"/>
        <v>2837.5</v>
      </c>
      <c r="E24" s="13">
        <f t="shared" si="10"/>
        <v>20</v>
      </c>
      <c r="F24" s="13">
        <f t="shared" si="1"/>
        <v>99.3000874890639</v>
      </c>
      <c r="G24" s="13">
        <f t="shared" si="10"/>
        <v>2837.5</v>
      </c>
      <c r="H24" s="14">
        <f t="shared" si="2"/>
        <v>2837.5</v>
      </c>
      <c r="I24" s="13">
        <f t="shared" ref="I24:P24" si="11">SUM(I25:I29)</f>
        <v>0</v>
      </c>
      <c r="J24" s="13">
        <f t="shared" si="11"/>
        <v>979</v>
      </c>
      <c r="K24" s="13">
        <f t="shared" si="11"/>
        <v>1338.5</v>
      </c>
      <c r="L24" s="13">
        <f t="shared" si="11"/>
        <v>0</v>
      </c>
      <c r="M24" s="13">
        <f t="shared" si="11"/>
        <v>520</v>
      </c>
      <c r="N24" s="13">
        <f t="shared" si="11"/>
        <v>0</v>
      </c>
      <c r="O24" s="13">
        <f t="shared" si="11"/>
        <v>0</v>
      </c>
      <c r="P24" s="13">
        <f t="shared" si="11"/>
        <v>0</v>
      </c>
    </row>
    <row r="25" ht="42" customHeight="1" spans="1:16">
      <c r="A25" s="10" t="s">
        <v>33</v>
      </c>
      <c r="B25" s="11">
        <v>204</v>
      </c>
      <c r="C25" s="15" t="s">
        <v>143</v>
      </c>
      <c r="D25" s="13">
        <v>204</v>
      </c>
      <c r="E25" s="13">
        <f t="shared" ref="E25:E29" si="12">B25-D25</f>
        <v>0</v>
      </c>
      <c r="F25" s="13">
        <f t="shared" si="1"/>
        <v>100</v>
      </c>
      <c r="G25" s="14">
        <f t="shared" ref="G25:G29" si="13">H25+O25+P25</f>
        <v>204</v>
      </c>
      <c r="H25" s="14">
        <f t="shared" si="2"/>
        <v>204</v>
      </c>
      <c r="I25" s="13"/>
      <c r="J25" s="13">
        <v>204</v>
      </c>
      <c r="K25" s="13"/>
      <c r="L25" s="13"/>
      <c r="M25" s="13"/>
      <c r="N25" s="13"/>
      <c r="O25" s="13"/>
      <c r="P25" s="13"/>
    </row>
    <row r="26" ht="42" customHeight="1" spans="1:16">
      <c r="A26" s="10" t="s">
        <v>150</v>
      </c>
      <c r="B26" s="11">
        <v>775</v>
      </c>
      <c r="C26" s="15" t="s">
        <v>143</v>
      </c>
      <c r="D26" s="13">
        <v>775</v>
      </c>
      <c r="E26" s="13">
        <f t="shared" si="12"/>
        <v>0</v>
      </c>
      <c r="F26" s="13">
        <f t="shared" si="1"/>
        <v>100</v>
      </c>
      <c r="G26" s="14">
        <f t="shared" si="13"/>
        <v>775</v>
      </c>
      <c r="H26" s="14">
        <f t="shared" si="2"/>
        <v>775</v>
      </c>
      <c r="I26" s="13"/>
      <c r="J26" s="13">
        <v>775</v>
      </c>
      <c r="K26" s="13"/>
      <c r="L26" s="13"/>
      <c r="M26" s="13"/>
      <c r="N26" s="13"/>
      <c r="O26" s="13"/>
      <c r="P26" s="13"/>
    </row>
    <row r="27" ht="42" customHeight="1" spans="1:16">
      <c r="A27" s="10" t="s">
        <v>37</v>
      </c>
      <c r="B27" s="11">
        <v>520</v>
      </c>
      <c r="C27" s="15" t="s">
        <v>163</v>
      </c>
      <c r="D27" s="13">
        <v>520</v>
      </c>
      <c r="E27" s="13">
        <f t="shared" si="12"/>
        <v>0</v>
      </c>
      <c r="F27" s="13">
        <f t="shared" si="1"/>
        <v>100</v>
      </c>
      <c r="G27" s="14">
        <f t="shared" si="13"/>
        <v>520</v>
      </c>
      <c r="H27" s="14">
        <f t="shared" si="2"/>
        <v>520</v>
      </c>
      <c r="I27" s="13"/>
      <c r="J27" s="13"/>
      <c r="K27" s="13"/>
      <c r="L27" s="13"/>
      <c r="M27" s="13">
        <v>520</v>
      </c>
      <c r="N27" s="13"/>
      <c r="O27" s="13"/>
      <c r="P27" s="13"/>
    </row>
    <row r="28" ht="42" customHeight="1" spans="1:16">
      <c r="A28" s="10" t="s">
        <v>150</v>
      </c>
      <c r="B28" s="11">
        <v>1338.5</v>
      </c>
      <c r="C28" s="15" t="s">
        <v>164</v>
      </c>
      <c r="D28" s="13">
        <v>1338.5</v>
      </c>
      <c r="E28" s="13">
        <f t="shared" si="12"/>
        <v>0</v>
      </c>
      <c r="F28" s="13">
        <f t="shared" si="1"/>
        <v>100</v>
      </c>
      <c r="G28" s="14">
        <f t="shared" si="13"/>
        <v>1338.5</v>
      </c>
      <c r="H28" s="14">
        <f t="shared" si="2"/>
        <v>1338.5</v>
      </c>
      <c r="I28" s="13"/>
      <c r="J28" s="13"/>
      <c r="K28" s="13">
        <v>1338.5</v>
      </c>
      <c r="L28" s="13"/>
      <c r="M28" s="13"/>
      <c r="N28" s="13"/>
      <c r="O28" s="13"/>
      <c r="P28" s="13"/>
    </row>
    <row r="29" ht="42" customHeight="1" spans="1:16">
      <c r="A29" s="10" t="s">
        <v>150</v>
      </c>
      <c r="B29" s="11">
        <v>20</v>
      </c>
      <c r="C29" s="15" t="s">
        <v>187</v>
      </c>
      <c r="D29" s="13"/>
      <c r="E29" s="13">
        <f t="shared" si="12"/>
        <v>20</v>
      </c>
      <c r="F29" s="13">
        <f t="shared" si="1"/>
        <v>0</v>
      </c>
      <c r="G29" s="14">
        <f t="shared" si="13"/>
        <v>0</v>
      </c>
      <c r="H29" s="14">
        <f t="shared" si="2"/>
        <v>0</v>
      </c>
      <c r="I29" s="13"/>
      <c r="J29" s="13"/>
      <c r="K29" s="13"/>
      <c r="L29" s="13"/>
      <c r="M29" s="13"/>
      <c r="N29" s="13"/>
      <c r="O29" s="13"/>
      <c r="P29" s="85"/>
    </row>
    <row r="30" ht="42" customHeight="1" spans="1:16">
      <c r="A30" s="185" t="s">
        <v>188</v>
      </c>
      <c r="B30" s="11">
        <f t="shared" ref="B30:G30" si="14">B31+B32+B33+B34</f>
        <v>3000</v>
      </c>
      <c r="C30" s="15"/>
      <c r="D30" s="13">
        <f t="shared" si="14"/>
        <v>1500.63</v>
      </c>
      <c r="E30" s="13">
        <f t="shared" si="14"/>
        <v>1499.37</v>
      </c>
      <c r="F30" s="13">
        <f t="shared" si="1"/>
        <v>50.021</v>
      </c>
      <c r="G30" s="13">
        <f t="shared" si="14"/>
        <v>1500.63</v>
      </c>
      <c r="H30" s="14">
        <f t="shared" si="2"/>
        <v>0</v>
      </c>
      <c r="I30" s="13">
        <f t="shared" ref="I30:O30" si="15">I31+I32+I33+I34</f>
        <v>0</v>
      </c>
      <c r="J30" s="13">
        <f t="shared" si="15"/>
        <v>0</v>
      </c>
      <c r="K30" s="13">
        <f t="shared" si="15"/>
        <v>0</v>
      </c>
      <c r="L30" s="13">
        <f t="shared" si="15"/>
        <v>0</v>
      </c>
      <c r="M30" s="13">
        <f t="shared" si="15"/>
        <v>0</v>
      </c>
      <c r="N30" s="13">
        <f t="shared" si="15"/>
        <v>0</v>
      </c>
      <c r="O30" s="13">
        <f t="shared" si="15"/>
        <v>1500.63</v>
      </c>
      <c r="P30" s="13"/>
    </row>
    <row r="31" ht="42" customHeight="1" spans="1:16">
      <c r="A31" s="10" t="s">
        <v>150</v>
      </c>
      <c r="B31" s="11">
        <v>20</v>
      </c>
      <c r="C31" s="15" t="s">
        <v>176</v>
      </c>
      <c r="D31" s="13"/>
      <c r="E31" s="13">
        <f t="shared" ref="E31:E34" si="16">B31-D31</f>
        <v>20</v>
      </c>
      <c r="F31" s="13">
        <f t="shared" si="1"/>
        <v>0</v>
      </c>
      <c r="G31" s="14">
        <f t="shared" ref="G31:G34" si="17">H31+O31+P31</f>
        <v>0</v>
      </c>
      <c r="H31" s="14">
        <f t="shared" si="2"/>
        <v>0</v>
      </c>
      <c r="I31" s="13"/>
      <c r="J31" s="13"/>
      <c r="K31" s="13"/>
      <c r="L31" s="13"/>
      <c r="M31" s="13"/>
      <c r="N31" s="13"/>
      <c r="O31" s="13"/>
      <c r="P31" s="13"/>
    </row>
    <row r="32" ht="42" customHeight="1" spans="1:16">
      <c r="A32" s="10" t="s">
        <v>35</v>
      </c>
      <c r="B32" s="11">
        <v>1000</v>
      </c>
      <c r="C32" s="15" t="s">
        <v>177</v>
      </c>
      <c r="D32" s="13"/>
      <c r="E32" s="13">
        <f t="shared" si="16"/>
        <v>1000</v>
      </c>
      <c r="F32" s="13">
        <f t="shared" si="1"/>
        <v>0</v>
      </c>
      <c r="G32" s="14">
        <f t="shared" si="17"/>
        <v>0</v>
      </c>
      <c r="H32" s="14">
        <f t="shared" si="2"/>
        <v>0</v>
      </c>
      <c r="I32" s="13"/>
      <c r="J32" s="13"/>
      <c r="K32" s="13"/>
      <c r="L32" s="13"/>
      <c r="M32" s="13"/>
      <c r="N32" s="13"/>
      <c r="O32" s="13"/>
      <c r="P32" s="13"/>
    </row>
    <row r="33" ht="42" customHeight="1" spans="1:16">
      <c r="A33" s="10" t="s">
        <v>148</v>
      </c>
      <c r="B33" s="11">
        <v>1680</v>
      </c>
      <c r="C33" s="15" t="s">
        <v>174</v>
      </c>
      <c r="D33" s="13">
        <v>1500.63</v>
      </c>
      <c r="E33" s="13">
        <f t="shared" si="16"/>
        <v>179.37</v>
      </c>
      <c r="F33" s="13">
        <f t="shared" si="1"/>
        <v>89.3232142857143</v>
      </c>
      <c r="G33" s="14">
        <f t="shared" si="17"/>
        <v>1500.63</v>
      </c>
      <c r="H33" s="14">
        <f t="shared" si="2"/>
        <v>0</v>
      </c>
      <c r="I33" s="13"/>
      <c r="J33" s="13"/>
      <c r="K33" s="13"/>
      <c r="L33" s="13"/>
      <c r="M33" s="13"/>
      <c r="N33" s="13"/>
      <c r="O33" s="13">
        <v>1500.63</v>
      </c>
      <c r="P33" s="13"/>
    </row>
    <row r="34" ht="42" customHeight="1" spans="1:16">
      <c r="A34" s="10" t="s">
        <v>36</v>
      </c>
      <c r="B34" s="11">
        <v>300</v>
      </c>
      <c r="C34" s="15" t="s">
        <v>178</v>
      </c>
      <c r="D34" s="13"/>
      <c r="E34" s="13">
        <f t="shared" si="16"/>
        <v>300</v>
      </c>
      <c r="F34" s="13">
        <f t="shared" si="1"/>
        <v>0</v>
      </c>
      <c r="G34" s="14">
        <f t="shared" si="17"/>
        <v>0</v>
      </c>
      <c r="H34" s="14">
        <f t="shared" si="2"/>
        <v>0</v>
      </c>
      <c r="I34" s="13"/>
      <c r="J34" s="13"/>
      <c r="K34" s="13"/>
      <c r="L34" s="13"/>
      <c r="M34" s="13"/>
      <c r="N34" s="13"/>
      <c r="O34" s="13"/>
      <c r="P34" s="13"/>
    </row>
    <row r="35" ht="42" customHeight="1" spans="1:16">
      <c r="A35" s="205" t="s">
        <v>102</v>
      </c>
      <c r="B35" s="11">
        <f t="shared" ref="B35:G35" si="18">B36+B42</f>
        <v>3000</v>
      </c>
      <c r="C35" s="11">
        <f t="shared" si="18"/>
        <v>0</v>
      </c>
      <c r="D35" s="11">
        <f t="shared" si="18"/>
        <v>1580.66</v>
      </c>
      <c r="E35" s="11">
        <f t="shared" si="18"/>
        <v>1419.34</v>
      </c>
      <c r="F35" s="13">
        <f t="shared" si="1"/>
        <v>52.6886666666667</v>
      </c>
      <c r="G35" s="11">
        <f t="shared" si="18"/>
        <v>1580.66</v>
      </c>
      <c r="H35" s="14">
        <f t="shared" si="2"/>
        <v>1500.66</v>
      </c>
      <c r="I35" s="11">
        <f t="shared" ref="I35:P35" si="19">I36+I42</f>
        <v>0</v>
      </c>
      <c r="J35" s="11">
        <f t="shared" si="19"/>
        <v>901.6</v>
      </c>
      <c r="K35" s="11">
        <f t="shared" si="19"/>
        <v>340</v>
      </c>
      <c r="L35" s="11">
        <f t="shared" si="19"/>
        <v>229.06</v>
      </c>
      <c r="M35" s="11">
        <f t="shared" si="19"/>
        <v>30</v>
      </c>
      <c r="N35" s="11">
        <f t="shared" si="19"/>
        <v>0</v>
      </c>
      <c r="O35" s="11">
        <f t="shared" si="19"/>
        <v>0</v>
      </c>
      <c r="P35" s="11">
        <f t="shared" si="19"/>
        <v>80</v>
      </c>
    </row>
    <row r="36" ht="42" customHeight="1" spans="1:16">
      <c r="A36" s="180" t="s">
        <v>189</v>
      </c>
      <c r="B36" s="11">
        <f t="shared" ref="B36:G36" si="20">SUM(B37:B41)</f>
        <v>2350</v>
      </c>
      <c r="C36" s="11">
        <f t="shared" si="20"/>
        <v>0</v>
      </c>
      <c r="D36" s="11">
        <f t="shared" si="20"/>
        <v>1500.66</v>
      </c>
      <c r="E36" s="11">
        <f t="shared" si="20"/>
        <v>849.34</v>
      </c>
      <c r="F36" s="13">
        <f t="shared" si="1"/>
        <v>63.8578723404255</v>
      </c>
      <c r="G36" s="11">
        <f t="shared" si="20"/>
        <v>1500.66</v>
      </c>
      <c r="H36" s="14">
        <f t="shared" si="2"/>
        <v>1500.66</v>
      </c>
      <c r="I36" s="11">
        <f t="shared" ref="I36:P36" si="21">SUM(I37:I41)</f>
        <v>0</v>
      </c>
      <c r="J36" s="11">
        <f t="shared" si="21"/>
        <v>901.6</v>
      </c>
      <c r="K36" s="11">
        <f t="shared" si="21"/>
        <v>340</v>
      </c>
      <c r="L36" s="11">
        <f t="shared" si="21"/>
        <v>229.06</v>
      </c>
      <c r="M36" s="11">
        <f t="shared" si="21"/>
        <v>30</v>
      </c>
      <c r="N36" s="11">
        <f t="shared" si="21"/>
        <v>0</v>
      </c>
      <c r="O36" s="11">
        <f t="shared" si="21"/>
        <v>0</v>
      </c>
      <c r="P36" s="11">
        <f t="shared" si="21"/>
        <v>0</v>
      </c>
    </row>
    <row r="37" ht="42" customHeight="1" spans="1:16">
      <c r="A37" s="10" t="s">
        <v>150</v>
      </c>
      <c r="B37" s="11">
        <v>1020</v>
      </c>
      <c r="C37" s="12" t="s">
        <v>167</v>
      </c>
      <c r="D37" s="13">
        <v>901.6</v>
      </c>
      <c r="E37" s="13">
        <f t="shared" ref="E37:E47" si="22">B37-D37</f>
        <v>118.4</v>
      </c>
      <c r="F37" s="13">
        <f t="shared" si="1"/>
        <v>88.3921568627451</v>
      </c>
      <c r="G37" s="14">
        <f t="shared" ref="G37:G47" si="23">H37+O37+P37</f>
        <v>901.6</v>
      </c>
      <c r="H37" s="14">
        <f t="shared" si="2"/>
        <v>901.6</v>
      </c>
      <c r="I37" s="13">
        <v>0</v>
      </c>
      <c r="J37" s="13">
        <v>901.6</v>
      </c>
      <c r="K37" s="13"/>
      <c r="L37" s="13"/>
      <c r="M37" s="13"/>
      <c r="N37" s="13"/>
      <c r="O37" s="13"/>
      <c r="P37" s="13"/>
    </row>
    <row r="38" ht="42" customHeight="1" spans="1:16">
      <c r="A38" s="10" t="s">
        <v>37</v>
      </c>
      <c r="B38" s="11">
        <v>100</v>
      </c>
      <c r="C38" s="15" t="s">
        <v>168</v>
      </c>
      <c r="D38" s="13">
        <v>29.06</v>
      </c>
      <c r="E38" s="13">
        <f t="shared" si="22"/>
        <v>70.94</v>
      </c>
      <c r="F38" s="13">
        <f t="shared" si="1"/>
        <v>29.06</v>
      </c>
      <c r="G38" s="14">
        <f t="shared" si="23"/>
        <v>29.06</v>
      </c>
      <c r="H38" s="14">
        <f t="shared" si="2"/>
        <v>29.06</v>
      </c>
      <c r="I38" s="13">
        <v>0</v>
      </c>
      <c r="J38" s="13"/>
      <c r="K38" s="13"/>
      <c r="L38" s="13">
        <v>29.06</v>
      </c>
      <c r="M38" s="13"/>
      <c r="N38" s="13"/>
      <c r="O38" s="13"/>
      <c r="P38" s="13"/>
    </row>
    <row r="39" ht="42" customHeight="1" spans="1:16">
      <c r="A39" s="10" t="s">
        <v>150</v>
      </c>
      <c r="B39" s="11">
        <v>400</v>
      </c>
      <c r="C39" s="12" t="s">
        <v>164</v>
      </c>
      <c r="D39" s="13">
        <v>340</v>
      </c>
      <c r="E39" s="13">
        <f t="shared" si="22"/>
        <v>60</v>
      </c>
      <c r="F39" s="13">
        <f t="shared" si="1"/>
        <v>85</v>
      </c>
      <c r="G39" s="14">
        <f t="shared" si="23"/>
        <v>340</v>
      </c>
      <c r="H39" s="14">
        <f t="shared" si="2"/>
        <v>340</v>
      </c>
      <c r="I39" s="13"/>
      <c r="J39" s="13"/>
      <c r="K39" s="13">
        <v>340</v>
      </c>
      <c r="L39" s="13"/>
      <c r="M39" s="13"/>
      <c r="N39" s="13"/>
      <c r="O39" s="13"/>
      <c r="P39" s="13"/>
    </row>
    <row r="40" ht="42" customHeight="1" spans="1:16">
      <c r="A40" s="10" t="s">
        <v>37</v>
      </c>
      <c r="B40" s="11">
        <v>780</v>
      </c>
      <c r="C40" s="15" t="s">
        <v>163</v>
      </c>
      <c r="D40" s="13">
        <v>230</v>
      </c>
      <c r="E40" s="13">
        <f t="shared" si="22"/>
        <v>550</v>
      </c>
      <c r="F40" s="13">
        <f t="shared" si="1"/>
        <v>29.4871794871795</v>
      </c>
      <c r="G40" s="14">
        <f t="shared" si="23"/>
        <v>230</v>
      </c>
      <c r="H40" s="14">
        <f t="shared" si="2"/>
        <v>230</v>
      </c>
      <c r="I40" s="13"/>
      <c r="J40" s="13"/>
      <c r="K40" s="13"/>
      <c r="L40" s="13">
        <v>200</v>
      </c>
      <c r="M40" s="13">
        <v>30</v>
      </c>
      <c r="N40" s="13"/>
      <c r="O40" s="13"/>
      <c r="P40" s="13"/>
    </row>
    <row r="41" ht="42" customHeight="1" spans="1:16">
      <c r="A41" s="10" t="s">
        <v>150</v>
      </c>
      <c r="B41" s="11">
        <v>50</v>
      </c>
      <c r="C41" s="15" t="s">
        <v>169</v>
      </c>
      <c r="D41" s="13"/>
      <c r="E41" s="13">
        <f t="shared" si="22"/>
        <v>50</v>
      </c>
      <c r="F41" s="13">
        <f t="shared" si="1"/>
        <v>0</v>
      </c>
      <c r="G41" s="14">
        <f t="shared" si="23"/>
        <v>0</v>
      </c>
      <c r="H41" s="14">
        <f t="shared" si="2"/>
        <v>0</v>
      </c>
      <c r="I41" s="13">
        <v>0</v>
      </c>
      <c r="J41" s="13"/>
      <c r="K41" s="13"/>
      <c r="L41" s="13"/>
      <c r="M41" s="13"/>
      <c r="N41" s="13"/>
      <c r="O41" s="13"/>
      <c r="P41" s="13"/>
    </row>
    <row r="42" ht="42" customHeight="1" spans="1:16">
      <c r="A42" s="180" t="s">
        <v>190</v>
      </c>
      <c r="B42" s="11">
        <f>SUM(B43:B47)</f>
        <v>650</v>
      </c>
      <c r="C42" s="11">
        <f>SUM(C43:C47)</f>
        <v>0</v>
      </c>
      <c r="D42" s="13">
        <f>SUM(D43:D47)</f>
        <v>80</v>
      </c>
      <c r="E42" s="13">
        <f t="shared" si="22"/>
        <v>570</v>
      </c>
      <c r="F42" s="13">
        <f t="shared" si="1"/>
        <v>12.3076923076923</v>
      </c>
      <c r="G42" s="14">
        <f t="shared" si="23"/>
        <v>80</v>
      </c>
      <c r="H42" s="14">
        <f t="shared" si="2"/>
        <v>0</v>
      </c>
      <c r="I42" s="11">
        <f t="shared" ref="I42:P42" si="24">SUM(I43:I47)</f>
        <v>0</v>
      </c>
      <c r="J42" s="11">
        <f t="shared" si="24"/>
        <v>0</v>
      </c>
      <c r="K42" s="11">
        <f t="shared" si="24"/>
        <v>0</v>
      </c>
      <c r="L42" s="11">
        <f t="shared" si="24"/>
        <v>0</v>
      </c>
      <c r="M42" s="11">
        <f t="shared" si="24"/>
        <v>0</v>
      </c>
      <c r="N42" s="11">
        <f t="shared" si="24"/>
        <v>0</v>
      </c>
      <c r="O42" s="11">
        <f t="shared" si="24"/>
        <v>0</v>
      </c>
      <c r="P42" s="11">
        <f t="shared" si="24"/>
        <v>80</v>
      </c>
    </row>
    <row r="43" ht="42" customHeight="1" spans="1:16">
      <c r="A43" s="10" t="s">
        <v>191</v>
      </c>
      <c r="B43" s="11">
        <v>150</v>
      </c>
      <c r="C43" s="15" t="s">
        <v>192</v>
      </c>
      <c r="D43" s="13"/>
      <c r="E43" s="13">
        <f t="shared" si="22"/>
        <v>150</v>
      </c>
      <c r="F43" s="13">
        <f t="shared" si="1"/>
        <v>0</v>
      </c>
      <c r="G43" s="14">
        <f t="shared" si="23"/>
        <v>0</v>
      </c>
      <c r="H43" s="14">
        <f t="shared" si="2"/>
        <v>0</v>
      </c>
      <c r="I43" s="13"/>
      <c r="J43" s="13"/>
      <c r="K43" s="13"/>
      <c r="L43" s="13"/>
      <c r="M43" s="13"/>
      <c r="N43" s="13"/>
      <c r="O43" s="13"/>
      <c r="P43" s="13"/>
    </row>
    <row r="44" ht="42" customHeight="1" spans="1:16">
      <c r="A44" s="10" t="s">
        <v>150</v>
      </c>
      <c r="B44" s="11">
        <v>140</v>
      </c>
      <c r="C44" s="15" t="s">
        <v>193</v>
      </c>
      <c r="D44" s="13"/>
      <c r="E44" s="13">
        <f t="shared" si="22"/>
        <v>140</v>
      </c>
      <c r="F44" s="13">
        <f t="shared" si="1"/>
        <v>0</v>
      </c>
      <c r="G44" s="14">
        <f t="shared" si="23"/>
        <v>0</v>
      </c>
      <c r="H44" s="14">
        <f t="shared" si="2"/>
        <v>0</v>
      </c>
      <c r="I44" s="13"/>
      <c r="J44" s="13"/>
      <c r="K44" s="13"/>
      <c r="L44" s="13"/>
      <c r="M44" s="13"/>
      <c r="N44" s="13"/>
      <c r="O44" s="13"/>
      <c r="P44" s="13"/>
    </row>
    <row r="45" ht="42" customHeight="1" spans="1:16">
      <c r="A45" s="10" t="s">
        <v>150</v>
      </c>
      <c r="B45" s="11">
        <v>100</v>
      </c>
      <c r="C45" s="15" t="s">
        <v>194</v>
      </c>
      <c r="D45" s="13"/>
      <c r="E45" s="13">
        <f t="shared" si="22"/>
        <v>100</v>
      </c>
      <c r="F45" s="13">
        <f t="shared" si="1"/>
        <v>0</v>
      </c>
      <c r="G45" s="14">
        <f t="shared" si="23"/>
        <v>0</v>
      </c>
      <c r="H45" s="14">
        <f t="shared" si="2"/>
        <v>0</v>
      </c>
      <c r="I45" s="13"/>
      <c r="J45" s="13"/>
      <c r="K45" s="13"/>
      <c r="L45" s="13"/>
      <c r="M45" s="13"/>
      <c r="N45" s="13"/>
      <c r="O45" s="13"/>
      <c r="P45" s="13"/>
    </row>
    <row r="46" ht="42" customHeight="1" spans="1:16">
      <c r="A46" s="10" t="s">
        <v>195</v>
      </c>
      <c r="B46" s="11">
        <v>100</v>
      </c>
      <c r="C46" s="15" t="s">
        <v>196</v>
      </c>
      <c r="D46" s="13"/>
      <c r="E46" s="13">
        <f t="shared" si="22"/>
        <v>100</v>
      </c>
      <c r="F46" s="13">
        <f t="shared" si="1"/>
        <v>0</v>
      </c>
      <c r="G46" s="14">
        <f t="shared" si="23"/>
        <v>0</v>
      </c>
      <c r="H46" s="14">
        <f t="shared" si="2"/>
        <v>0</v>
      </c>
      <c r="I46" s="13"/>
      <c r="J46" s="13"/>
      <c r="K46" s="13"/>
      <c r="L46" s="13"/>
      <c r="M46" s="13"/>
      <c r="N46" s="13"/>
      <c r="O46" s="13"/>
      <c r="P46" s="13"/>
    </row>
    <row r="47" ht="42" customHeight="1" spans="1:16">
      <c r="A47" s="10" t="s">
        <v>197</v>
      </c>
      <c r="B47" s="11">
        <v>160</v>
      </c>
      <c r="C47" s="15" t="s">
        <v>198</v>
      </c>
      <c r="D47" s="13">
        <v>80</v>
      </c>
      <c r="E47" s="13">
        <f t="shared" si="22"/>
        <v>80</v>
      </c>
      <c r="F47" s="13">
        <f t="shared" si="1"/>
        <v>50</v>
      </c>
      <c r="G47" s="14">
        <f t="shared" si="23"/>
        <v>80</v>
      </c>
      <c r="H47" s="14">
        <f t="shared" si="2"/>
        <v>0</v>
      </c>
      <c r="I47" s="13"/>
      <c r="J47" s="13"/>
      <c r="K47" s="13"/>
      <c r="L47" s="13"/>
      <c r="M47" s="13"/>
      <c r="N47" s="13"/>
      <c r="O47" s="13"/>
      <c r="P47" s="13">
        <v>80</v>
      </c>
    </row>
    <row r="48" ht="43" customHeight="1" spans="1:16">
      <c r="A48" s="206" t="s">
        <v>27</v>
      </c>
      <c r="B48" s="177">
        <f t="shared" ref="B48:P48" si="25">B35+B6</f>
        <v>25351.5</v>
      </c>
      <c r="C48" s="177">
        <f t="shared" si="25"/>
        <v>0</v>
      </c>
      <c r="D48" s="178">
        <f t="shared" si="25"/>
        <v>17563.5</v>
      </c>
      <c r="E48" s="178">
        <f t="shared" si="25"/>
        <v>7788</v>
      </c>
      <c r="F48" s="178">
        <f t="shared" si="1"/>
        <v>69.2799242648364</v>
      </c>
      <c r="G48" s="178">
        <f t="shared" si="25"/>
        <v>17563.50263</v>
      </c>
      <c r="H48" s="178">
        <f t="shared" si="25"/>
        <v>15374.10163</v>
      </c>
      <c r="I48" s="178">
        <f t="shared" si="25"/>
        <v>4615.9</v>
      </c>
      <c r="J48" s="178">
        <f t="shared" si="25"/>
        <v>7404.6</v>
      </c>
      <c r="K48" s="178">
        <f t="shared" si="25"/>
        <v>1678.5</v>
      </c>
      <c r="L48" s="178">
        <f t="shared" si="25"/>
        <v>420.76</v>
      </c>
      <c r="M48" s="178">
        <f t="shared" si="25"/>
        <v>550</v>
      </c>
      <c r="N48" s="178">
        <f t="shared" si="25"/>
        <v>704.34163</v>
      </c>
      <c r="O48" s="178">
        <f t="shared" si="25"/>
        <v>2093.16</v>
      </c>
      <c r="P48" s="178">
        <f t="shared" si="25"/>
        <v>96.241</v>
      </c>
    </row>
    <row r="49" ht="43" customHeight="1" spans="1:16">
      <c r="A49" s="207" t="s">
        <v>201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</row>
    <row r="50" ht="40" customHeight="1" spans="1:16">
      <c r="A50" s="209" t="s">
        <v>170</v>
      </c>
      <c r="B50" s="210">
        <f t="shared" ref="B50:P50" si="26">SUM(B51:B63)</f>
        <v>25351.5</v>
      </c>
      <c r="C50" s="211"/>
      <c r="D50" s="211">
        <f t="shared" si="26"/>
        <v>17563.5</v>
      </c>
      <c r="E50" s="211">
        <f t="shared" si="26"/>
        <v>7788</v>
      </c>
      <c r="F50" s="211">
        <f t="shared" ref="F50:F63" si="27">D50/B50*100</f>
        <v>69.2799242648364</v>
      </c>
      <c r="G50" s="211">
        <f t="shared" si="26"/>
        <v>17563.50263</v>
      </c>
      <c r="H50" s="211">
        <f t="shared" si="26"/>
        <v>15374.10163</v>
      </c>
      <c r="I50" s="211">
        <f t="shared" si="26"/>
        <v>4615.9</v>
      </c>
      <c r="J50" s="211">
        <f t="shared" si="26"/>
        <v>7404.6</v>
      </c>
      <c r="K50" s="211">
        <f t="shared" si="26"/>
        <v>1678.5</v>
      </c>
      <c r="L50" s="211">
        <f t="shared" si="26"/>
        <v>420.76</v>
      </c>
      <c r="M50" s="211">
        <f t="shared" si="26"/>
        <v>550</v>
      </c>
      <c r="N50" s="211">
        <f t="shared" si="26"/>
        <v>704.34163</v>
      </c>
      <c r="O50" s="211">
        <f t="shared" si="26"/>
        <v>2093.16</v>
      </c>
      <c r="P50" s="211">
        <f t="shared" si="26"/>
        <v>96.241</v>
      </c>
    </row>
    <row r="51" ht="40" customHeight="1" spans="1:16">
      <c r="A51" s="10" t="s">
        <v>148</v>
      </c>
      <c r="B51" s="13">
        <f t="shared" ref="B51:P51" si="28">B9+B21+B33</f>
        <v>3177</v>
      </c>
      <c r="C51" s="13"/>
      <c r="D51" s="13">
        <f t="shared" si="28"/>
        <v>2093.16</v>
      </c>
      <c r="E51" s="13">
        <f t="shared" si="28"/>
        <v>1083.84</v>
      </c>
      <c r="F51" s="13">
        <f t="shared" si="27"/>
        <v>65.8847969782814</v>
      </c>
      <c r="G51" s="13">
        <f t="shared" si="28"/>
        <v>2093.16</v>
      </c>
      <c r="H51" s="13">
        <f t="shared" si="28"/>
        <v>0</v>
      </c>
      <c r="I51" s="13">
        <f t="shared" si="28"/>
        <v>0</v>
      </c>
      <c r="J51" s="13">
        <f t="shared" si="28"/>
        <v>0</v>
      </c>
      <c r="K51" s="13">
        <f t="shared" si="28"/>
        <v>0</v>
      </c>
      <c r="L51" s="13">
        <f t="shared" si="28"/>
        <v>0</v>
      </c>
      <c r="M51" s="13">
        <f t="shared" si="28"/>
        <v>0</v>
      </c>
      <c r="N51" s="13">
        <f t="shared" si="28"/>
        <v>0</v>
      </c>
      <c r="O51" s="13">
        <f t="shared" si="28"/>
        <v>2093.16</v>
      </c>
      <c r="P51" s="13">
        <f t="shared" si="28"/>
        <v>0</v>
      </c>
    </row>
    <row r="52" ht="40" customHeight="1" spans="1:16">
      <c r="A52" s="10" t="s">
        <v>150</v>
      </c>
      <c r="B52" s="13">
        <f t="shared" ref="B52:P52" si="29">B10+B16+B22+B29+B31+B44+B45+B26+B28+B37+B39+B41</f>
        <v>11849.5</v>
      </c>
      <c r="C52" s="13"/>
      <c r="D52" s="13">
        <f t="shared" si="29"/>
        <v>10826</v>
      </c>
      <c r="E52" s="13">
        <f t="shared" si="29"/>
        <v>1023.5</v>
      </c>
      <c r="F52" s="13">
        <f t="shared" si="27"/>
        <v>91.3625047470357</v>
      </c>
      <c r="G52" s="13">
        <f t="shared" si="29"/>
        <v>10826</v>
      </c>
      <c r="H52" s="13">
        <f t="shared" si="29"/>
        <v>10826</v>
      </c>
      <c r="I52" s="13">
        <f t="shared" si="29"/>
        <v>4615.9</v>
      </c>
      <c r="J52" s="13">
        <f t="shared" si="29"/>
        <v>4531.6</v>
      </c>
      <c r="K52" s="13">
        <f t="shared" si="29"/>
        <v>1678.5</v>
      </c>
      <c r="L52" s="13">
        <f t="shared" si="29"/>
        <v>0</v>
      </c>
      <c r="M52" s="13">
        <f t="shared" si="29"/>
        <v>0</v>
      </c>
      <c r="N52" s="13">
        <f t="shared" si="29"/>
        <v>0</v>
      </c>
      <c r="O52" s="13">
        <f t="shared" si="29"/>
        <v>0</v>
      </c>
      <c r="P52" s="13">
        <f t="shared" si="29"/>
        <v>0</v>
      </c>
    </row>
    <row r="53" ht="40" customHeight="1" spans="1:16">
      <c r="A53" s="10" t="s">
        <v>152</v>
      </c>
      <c r="B53" s="13">
        <f t="shared" ref="B53:P53" si="30">B11+B17+B23</f>
        <v>2453</v>
      </c>
      <c r="C53" s="13"/>
      <c r="D53" s="13">
        <f t="shared" si="30"/>
        <v>0</v>
      </c>
      <c r="E53" s="13">
        <f t="shared" si="30"/>
        <v>2453</v>
      </c>
      <c r="F53" s="13">
        <f t="shared" si="27"/>
        <v>0</v>
      </c>
      <c r="G53" s="13">
        <f t="shared" si="30"/>
        <v>0</v>
      </c>
      <c r="H53" s="13">
        <f t="shared" si="30"/>
        <v>0</v>
      </c>
      <c r="I53" s="13">
        <f t="shared" si="30"/>
        <v>0</v>
      </c>
      <c r="J53" s="13">
        <f t="shared" si="30"/>
        <v>0</v>
      </c>
      <c r="K53" s="13">
        <f t="shared" si="30"/>
        <v>0</v>
      </c>
      <c r="L53" s="13">
        <f t="shared" si="30"/>
        <v>0</v>
      </c>
      <c r="M53" s="13">
        <f t="shared" si="30"/>
        <v>0</v>
      </c>
      <c r="N53" s="13">
        <f t="shared" si="30"/>
        <v>0</v>
      </c>
      <c r="O53" s="13">
        <f t="shared" si="30"/>
        <v>0</v>
      </c>
      <c r="P53" s="13">
        <f t="shared" si="30"/>
        <v>0</v>
      </c>
    </row>
    <row r="54" ht="40" customHeight="1" spans="1:16">
      <c r="A54" s="10" t="s">
        <v>154</v>
      </c>
      <c r="B54" s="13">
        <f t="shared" ref="B54:P54" si="31">B12</f>
        <v>567</v>
      </c>
      <c r="C54" s="13"/>
      <c r="D54" s="13">
        <f t="shared" si="31"/>
        <v>567</v>
      </c>
      <c r="E54" s="13">
        <f t="shared" si="31"/>
        <v>0</v>
      </c>
      <c r="F54" s="13">
        <f t="shared" si="27"/>
        <v>100</v>
      </c>
      <c r="G54" s="13">
        <f t="shared" si="31"/>
        <v>567</v>
      </c>
      <c r="H54" s="13">
        <f t="shared" si="31"/>
        <v>567</v>
      </c>
      <c r="I54" s="13">
        <f t="shared" si="31"/>
        <v>0</v>
      </c>
      <c r="J54" s="13">
        <f t="shared" si="31"/>
        <v>0</v>
      </c>
      <c r="K54" s="13">
        <f t="shared" si="31"/>
        <v>0</v>
      </c>
      <c r="L54" s="13">
        <f t="shared" si="31"/>
        <v>0</v>
      </c>
      <c r="M54" s="13">
        <f t="shared" si="31"/>
        <v>0</v>
      </c>
      <c r="N54" s="13">
        <f t="shared" si="31"/>
        <v>567</v>
      </c>
      <c r="O54" s="13">
        <f t="shared" si="31"/>
        <v>0</v>
      </c>
      <c r="P54" s="13">
        <f t="shared" si="31"/>
        <v>0</v>
      </c>
    </row>
    <row r="55" ht="40" customHeight="1" spans="1:16">
      <c r="A55" s="10" t="s">
        <v>36</v>
      </c>
      <c r="B55" s="13">
        <f t="shared" ref="B55:P55" si="32">B13+B34</f>
        <v>856</v>
      </c>
      <c r="C55" s="13"/>
      <c r="D55" s="13">
        <f t="shared" si="32"/>
        <v>249.59</v>
      </c>
      <c r="E55" s="13">
        <f t="shared" si="32"/>
        <v>606.41</v>
      </c>
      <c r="F55" s="13">
        <f t="shared" si="27"/>
        <v>29.1577102803738</v>
      </c>
      <c r="G55" s="13">
        <f t="shared" si="32"/>
        <v>249.59388</v>
      </c>
      <c r="H55" s="13">
        <f t="shared" si="32"/>
        <v>233.35288</v>
      </c>
      <c r="I55" s="13">
        <f t="shared" si="32"/>
        <v>0</v>
      </c>
      <c r="J55" s="13">
        <f t="shared" si="32"/>
        <v>0</v>
      </c>
      <c r="K55" s="13">
        <f t="shared" si="32"/>
        <v>0</v>
      </c>
      <c r="L55" s="13">
        <f t="shared" si="32"/>
        <v>191.7</v>
      </c>
      <c r="M55" s="13">
        <f t="shared" si="32"/>
        <v>0</v>
      </c>
      <c r="N55" s="13">
        <f t="shared" si="32"/>
        <v>41.65288</v>
      </c>
      <c r="O55" s="13">
        <f t="shared" si="32"/>
        <v>0</v>
      </c>
      <c r="P55" s="13">
        <f t="shared" si="32"/>
        <v>16.241</v>
      </c>
    </row>
    <row r="56" ht="40" customHeight="1" spans="1:16">
      <c r="A56" s="10" t="s">
        <v>33</v>
      </c>
      <c r="B56" s="13">
        <f t="shared" ref="B56:P56" si="33">B14+B25</f>
        <v>3260</v>
      </c>
      <c r="C56" s="13"/>
      <c r="D56" s="13">
        <f t="shared" si="33"/>
        <v>2968.69</v>
      </c>
      <c r="E56" s="13">
        <f t="shared" si="33"/>
        <v>291.31</v>
      </c>
      <c r="F56" s="13">
        <f t="shared" si="27"/>
        <v>91.0641104294479</v>
      </c>
      <c r="G56" s="13">
        <f t="shared" si="33"/>
        <v>2968.68875</v>
      </c>
      <c r="H56" s="13">
        <f t="shared" si="33"/>
        <v>2968.68875</v>
      </c>
      <c r="I56" s="13">
        <f t="shared" si="33"/>
        <v>0</v>
      </c>
      <c r="J56" s="13">
        <f t="shared" si="33"/>
        <v>2873</v>
      </c>
      <c r="K56" s="13">
        <f t="shared" si="33"/>
        <v>0</v>
      </c>
      <c r="L56" s="13">
        <f t="shared" si="33"/>
        <v>0</v>
      </c>
      <c r="M56" s="13">
        <f t="shared" si="33"/>
        <v>0</v>
      </c>
      <c r="N56" s="13">
        <f t="shared" si="33"/>
        <v>95.68875</v>
      </c>
      <c r="O56" s="13">
        <f t="shared" si="33"/>
        <v>0</v>
      </c>
      <c r="P56" s="13">
        <f t="shared" si="33"/>
        <v>0</v>
      </c>
    </row>
    <row r="57" ht="40" customHeight="1" spans="1:16">
      <c r="A57" s="10" t="s">
        <v>56</v>
      </c>
      <c r="B57" s="13">
        <f t="shared" ref="B57:P57" si="34">B18</f>
        <v>329</v>
      </c>
      <c r="C57" s="13"/>
      <c r="D57" s="13">
        <f t="shared" si="34"/>
        <v>0</v>
      </c>
      <c r="E57" s="13">
        <f t="shared" si="34"/>
        <v>329</v>
      </c>
      <c r="F57" s="13">
        <f t="shared" si="27"/>
        <v>0</v>
      </c>
      <c r="G57" s="13">
        <f t="shared" si="34"/>
        <v>0</v>
      </c>
      <c r="H57" s="13">
        <f t="shared" si="34"/>
        <v>0</v>
      </c>
      <c r="I57" s="13">
        <f t="shared" si="34"/>
        <v>0</v>
      </c>
      <c r="J57" s="13">
        <f t="shared" si="34"/>
        <v>0</v>
      </c>
      <c r="K57" s="13">
        <f t="shared" si="34"/>
        <v>0</v>
      </c>
      <c r="L57" s="13">
        <f t="shared" si="34"/>
        <v>0</v>
      </c>
      <c r="M57" s="13">
        <f t="shared" si="34"/>
        <v>0</v>
      </c>
      <c r="N57" s="13">
        <f t="shared" si="34"/>
        <v>0</v>
      </c>
      <c r="O57" s="13">
        <f t="shared" si="34"/>
        <v>0</v>
      </c>
      <c r="P57" s="13">
        <f t="shared" si="34"/>
        <v>0</v>
      </c>
    </row>
    <row r="58" ht="40" customHeight="1" spans="1:16">
      <c r="A58" s="10" t="s">
        <v>199</v>
      </c>
      <c r="B58" s="13">
        <f t="shared" ref="B58:P58" si="35">B19</f>
        <v>50</v>
      </c>
      <c r="C58" s="13"/>
      <c r="D58" s="13">
        <f t="shared" si="35"/>
        <v>0</v>
      </c>
      <c r="E58" s="13">
        <f t="shared" si="35"/>
        <v>50</v>
      </c>
      <c r="F58" s="13">
        <f t="shared" si="27"/>
        <v>0</v>
      </c>
      <c r="G58" s="13">
        <f t="shared" si="35"/>
        <v>0</v>
      </c>
      <c r="H58" s="13">
        <f t="shared" si="35"/>
        <v>0</v>
      </c>
      <c r="I58" s="13">
        <f t="shared" si="35"/>
        <v>0</v>
      </c>
      <c r="J58" s="13">
        <f t="shared" si="35"/>
        <v>0</v>
      </c>
      <c r="K58" s="13">
        <f t="shared" si="35"/>
        <v>0</v>
      </c>
      <c r="L58" s="13">
        <f t="shared" si="35"/>
        <v>0</v>
      </c>
      <c r="M58" s="13">
        <f t="shared" si="35"/>
        <v>0</v>
      </c>
      <c r="N58" s="13">
        <f t="shared" si="35"/>
        <v>0</v>
      </c>
      <c r="O58" s="13">
        <f t="shared" si="35"/>
        <v>0</v>
      </c>
      <c r="P58" s="13">
        <f t="shared" si="35"/>
        <v>0</v>
      </c>
    </row>
    <row r="59" ht="40" customHeight="1" spans="1:16">
      <c r="A59" s="10" t="s">
        <v>37</v>
      </c>
      <c r="B59" s="13">
        <f t="shared" ref="B59:P59" si="36">B27+B38+B40</f>
        <v>1400</v>
      </c>
      <c r="C59" s="13"/>
      <c r="D59" s="13">
        <f t="shared" si="36"/>
        <v>779.06</v>
      </c>
      <c r="E59" s="13">
        <f t="shared" si="36"/>
        <v>620.94</v>
      </c>
      <c r="F59" s="13">
        <f t="shared" si="27"/>
        <v>55.6471428571429</v>
      </c>
      <c r="G59" s="13">
        <f t="shared" si="36"/>
        <v>779.06</v>
      </c>
      <c r="H59" s="13">
        <f t="shared" si="36"/>
        <v>779.06</v>
      </c>
      <c r="I59" s="13">
        <f t="shared" si="36"/>
        <v>0</v>
      </c>
      <c r="J59" s="13">
        <f t="shared" si="36"/>
        <v>0</v>
      </c>
      <c r="K59" s="13">
        <f t="shared" si="36"/>
        <v>0</v>
      </c>
      <c r="L59" s="13">
        <f t="shared" si="36"/>
        <v>229.06</v>
      </c>
      <c r="M59" s="13">
        <f t="shared" si="36"/>
        <v>550</v>
      </c>
      <c r="N59" s="13">
        <f t="shared" si="36"/>
        <v>0</v>
      </c>
      <c r="O59" s="13">
        <f t="shared" si="36"/>
        <v>0</v>
      </c>
      <c r="P59" s="13">
        <f t="shared" si="36"/>
        <v>0</v>
      </c>
    </row>
    <row r="60" ht="40" customHeight="1" spans="1:16">
      <c r="A60" s="10" t="s">
        <v>191</v>
      </c>
      <c r="B60" s="13">
        <f t="shared" ref="B60:P60" si="37">B43</f>
        <v>150</v>
      </c>
      <c r="C60" s="13"/>
      <c r="D60" s="13">
        <f t="shared" si="37"/>
        <v>0</v>
      </c>
      <c r="E60" s="13">
        <f t="shared" si="37"/>
        <v>150</v>
      </c>
      <c r="F60" s="13">
        <f t="shared" si="27"/>
        <v>0</v>
      </c>
      <c r="G60" s="13">
        <f t="shared" si="37"/>
        <v>0</v>
      </c>
      <c r="H60" s="13">
        <f t="shared" si="37"/>
        <v>0</v>
      </c>
      <c r="I60" s="13">
        <f t="shared" si="37"/>
        <v>0</v>
      </c>
      <c r="J60" s="13">
        <f t="shared" si="37"/>
        <v>0</v>
      </c>
      <c r="K60" s="13">
        <f t="shared" si="37"/>
        <v>0</v>
      </c>
      <c r="L60" s="13">
        <f t="shared" si="37"/>
        <v>0</v>
      </c>
      <c r="M60" s="13">
        <f t="shared" si="37"/>
        <v>0</v>
      </c>
      <c r="N60" s="13">
        <f t="shared" si="37"/>
        <v>0</v>
      </c>
      <c r="O60" s="13">
        <f t="shared" si="37"/>
        <v>0</v>
      </c>
      <c r="P60" s="13">
        <f t="shared" si="37"/>
        <v>0</v>
      </c>
    </row>
    <row r="61" ht="38" customHeight="1" spans="1:16">
      <c r="A61" s="10" t="s">
        <v>195</v>
      </c>
      <c r="B61" s="13">
        <f t="shared" ref="B61:P61" si="38">B46</f>
        <v>100</v>
      </c>
      <c r="C61" s="13"/>
      <c r="D61" s="13">
        <f t="shared" si="38"/>
        <v>0</v>
      </c>
      <c r="E61" s="13">
        <f t="shared" si="38"/>
        <v>100</v>
      </c>
      <c r="F61" s="13">
        <f t="shared" si="27"/>
        <v>0</v>
      </c>
      <c r="G61" s="13">
        <f t="shared" si="38"/>
        <v>0</v>
      </c>
      <c r="H61" s="13">
        <f t="shared" si="38"/>
        <v>0</v>
      </c>
      <c r="I61" s="13">
        <f t="shared" si="38"/>
        <v>0</v>
      </c>
      <c r="J61" s="13">
        <f t="shared" si="38"/>
        <v>0</v>
      </c>
      <c r="K61" s="13">
        <f t="shared" si="38"/>
        <v>0</v>
      </c>
      <c r="L61" s="13">
        <f t="shared" si="38"/>
        <v>0</v>
      </c>
      <c r="M61" s="13">
        <f t="shared" si="38"/>
        <v>0</v>
      </c>
      <c r="N61" s="13">
        <f t="shared" si="38"/>
        <v>0</v>
      </c>
      <c r="O61" s="13">
        <f t="shared" si="38"/>
        <v>0</v>
      </c>
      <c r="P61" s="13">
        <f t="shared" si="38"/>
        <v>0</v>
      </c>
    </row>
    <row r="62" ht="38" customHeight="1" spans="1:16">
      <c r="A62" s="10" t="s">
        <v>35</v>
      </c>
      <c r="B62" s="13">
        <f t="shared" ref="B62:P62" si="39">B32</f>
        <v>1000</v>
      </c>
      <c r="C62" s="13"/>
      <c r="D62" s="13">
        <f t="shared" si="39"/>
        <v>0</v>
      </c>
      <c r="E62" s="13">
        <f t="shared" si="39"/>
        <v>1000</v>
      </c>
      <c r="F62" s="13">
        <f t="shared" si="27"/>
        <v>0</v>
      </c>
      <c r="G62" s="13">
        <f t="shared" si="39"/>
        <v>0</v>
      </c>
      <c r="H62" s="13">
        <f t="shared" si="39"/>
        <v>0</v>
      </c>
      <c r="I62" s="13">
        <f t="shared" si="39"/>
        <v>0</v>
      </c>
      <c r="J62" s="13">
        <f t="shared" si="39"/>
        <v>0</v>
      </c>
      <c r="K62" s="13">
        <f t="shared" si="39"/>
        <v>0</v>
      </c>
      <c r="L62" s="13">
        <f t="shared" si="39"/>
        <v>0</v>
      </c>
      <c r="M62" s="13">
        <f t="shared" si="39"/>
        <v>0</v>
      </c>
      <c r="N62" s="13">
        <f t="shared" si="39"/>
        <v>0</v>
      </c>
      <c r="O62" s="13">
        <f t="shared" si="39"/>
        <v>0</v>
      </c>
      <c r="P62" s="13">
        <f t="shared" si="39"/>
        <v>0</v>
      </c>
    </row>
    <row r="63" ht="38" customHeight="1" spans="1:16">
      <c r="A63" s="10" t="s">
        <v>197</v>
      </c>
      <c r="B63" s="13">
        <f t="shared" ref="B63:P63" si="40">B47</f>
        <v>160</v>
      </c>
      <c r="C63" s="13"/>
      <c r="D63" s="13">
        <f t="shared" si="40"/>
        <v>80</v>
      </c>
      <c r="E63" s="13">
        <f t="shared" si="40"/>
        <v>80</v>
      </c>
      <c r="F63" s="13">
        <f t="shared" si="27"/>
        <v>50</v>
      </c>
      <c r="G63" s="13">
        <f t="shared" si="40"/>
        <v>80</v>
      </c>
      <c r="H63" s="13">
        <f t="shared" si="40"/>
        <v>0</v>
      </c>
      <c r="I63" s="13">
        <f t="shared" si="40"/>
        <v>0</v>
      </c>
      <c r="J63" s="13">
        <f t="shared" si="40"/>
        <v>0</v>
      </c>
      <c r="K63" s="13">
        <f t="shared" si="40"/>
        <v>0</v>
      </c>
      <c r="L63" s="13">
        <f t="shared" si="40"/>
        <v>0</v>
      </c>
      <c r="M63" s="13">
        <f t="shared" si="40"/>
        <v>0</v>
      </c>
      <c r="N63" s="13">
        <f t="shared" si="40"/>
        <v>0</v>
      </c>
      <c r="O63" s="13">
        <f t="shared" si="40"/>
        <v>0</v>
      </c>
      <c r="P63" s="13">
        <f t="shared" si="40"/>
        <v>80</v>
      </c>
    </row>
  </sheetData>
  <mergeCells count="15">
    <mergeCell ref="A1:P1"/>
    <mergeCell ref="C2:K2"/>
    <mergeCell ref="O2:P2"/>
    <mergeCell ref="G3:P3"/>
    <mergeCell ref="H4:N4"/>
    <mergeCell ref="A49:P49"/>
    <mergeCell ref="A3:A5"/>
    <mergeCell ref="B3:B5"/>
    <mergeCell ref="C3:C5"/>
    <mergeCell ref="D3:D5"/>
    <mergeCell ref="E3:E5"/>
    <mergeCell ref="F3:F5"/>
    <mergeCell ref="G4:G5"/>
    <mergeCell ref="O4:O5"/>
    <mergeCell ref="P4:P5"/>
  </mergeCells>
  <pageMargins left="0.609027777777778" right="0.354166666666667" top="0.393055555555556" bottom="0.196527777777778" header="0.511805555555556" footer="0.511805555555556"/>
  <pageSetup paperSize="9" scale="52" fitToHeight="0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showZeros="0" zoomScale="72" zoomScaleNormal="72" workbookViewId="0">
      <pane xSplit="1" ySplit="5" topLeftCell="B6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34.8916666666667" customWidth="1"/>
    <col min="2" max="2" width="13.1833333333333" customWidth="1"/>
    <col min="3" max="3" width="35.5916666666667" customWidth="1"/>
    <col min="4" max="4" width="13.1916666666667" customWidth="1"/>
    <col min="5" max="5" width="12.0833333333333" customWidth="1"/>
    <col min="6" max="6" width="10.75" customWidth="1"/>
    <col min="7" max="7" width="13.025" customWidth="1"/>
    <col min="8" max="8" width="13.1916666666667" customWidth="1"/>
    <col min="9" max="9" width="12.25" customWidth="1"/>
    <col min="10" max="10" width="12.9166666666667" customWidth="1"/>
    <col min="11" max="11" width="13.1666666666667" customWidth="1"/>
    <col min="12" max="12" width="10.5916666666667" customWidth="1"/>
    <col min="13" max="13" width="11.25" customWidth="1"/>
    <col min="14" max="14" width="12.5" customWidth="1"/>
    <col min="15" max="15" width="12.15" customWidth="1"/>
    <col min="16" max="16" width="10.75" customWidth="1"/>
  </cols>
  <sheetData>
    <row r="1" ht="38" customHeight="1" spans="1:16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8" customHeight="1" spans="1:16">
      <c r="A2" s="2" t="s">
        <v>118</v>
      </c>
      <c r="B2" s="3"/>
      <c r="C2" s="4" t="s">
        <v>202</v>
      </c>
      <c r="D2" s="4"/>
      <c r="E2" s="4"/>
      <c r="F2" s="4"/>
      <c r="G2" s="4"/>
      <c r="H2" s="4"/>
      <c r="I2" s="4"/>
      <c r="J2" s="4"/>
      <c r="K2" s="4"/>
      <c r="L2" s="16"/>
      <c r="M2" s="16"/>
      <c r="N2" s="16"/>
      <c r="O2" s="17" t="s">
        <v>3</v>
      </c>
      <c r="P2" s="17"/>
    </row>
    <row r="3" ht="23" customHeight="1" spans="1:16">
      <c r="A3" s="174" t="s">
        <v>134</v>
      </c>
      <c r="B3" s="174" t="s">
        <v>135</v>
      </c>
      <c r="C3" s="174" t="s">
        <v>62</v>
      </c>
      <c r="D3" s="175" t="s">
        <v>136</v>
      </c>
      <c r="E3" s="175" t="s">
        <v>137</v>
      </c>
      <c r="F3" s="175" t="s">
        <v>7</v>
      </c>
      <c r="G3" s="174" t="s">
        <v>65</v>
      </c>
      <c r="H3" s="174"/>
      <c r="I3" s="174"/>
      <c r="J3" s="174"/>
      <c r="K3" s="174"/>
      <c r="L3" s="174"/>
      <c r="M3" s="174"/>
      <c r="N3" s="174"/>
      <c r="O3" s="174"/>
      <c r="P3" s="174"/>
    </row>
    <row r="4" ht="23" customHeight="1" spans="1:16">
      <c r="A4" s="174"/>
      <c r="B4" s="174"/>
      <c r="C4" s="174"/>
      <c r="D4" s="175"/>
      <c r="E4" s="175"/>
      <c r="F4" s="175"/>
      <c r="G4" s="174" t="s">
        <v>138</v>
      </c>
      <c r="H4" s="174" t="s">
        <v>139</v>
      </c>
      <c r="I4" s="174"/>
      <c r="J4" s="174"/>
      <c r="K4" s="174"/>
      <c r="L4" s="174"/>
      <c r="M4" s="174"/>
      <c r="N4" s="174"/>
      <c r="O4" s="181" t="s">
        <v>140</v>
      </c>
      <c r="P4" s="174" t="s">
        <v>141</v>
      </c>
    </row>
    <row r="5" ht="23" customHeight="1" spans="1:16">
      <c r="A5" s="174"/>
      <c r="B5" s="174"/>
      <c r="C5" s="174"/>
      <c r="D5" s="175"/>
      <c r="E5" s="175"/>
      <c r="F5" s="175"/>
      <c r="G5" s="174"/>
      <c r="H5" s="174" t="s">
        <v>66</v>
      </c>
      <c r="I5" s="174" t="s">
        <v>142</v>
      </c>
      <c r="J5" s="174" t="s">
        <v>143</v>
      </c>
      <c r="K5" s="174" t="s">
        <v>144</v>
      </c>
      <c r="L5" s="175" t="s">
        <v>69</v>
      </c>
      <c r="M5" s="175" t="s">
        <v>145</v>
      </c>
      <c r="N5" s="174" t="s">
        <v>131</v>
      </c>
      <c r="O5" s="181"/>
      <c r="P5" s="174"/>
    </row>
    <row r="6" ht="42" customHeight="1" spans="1:16">
      <c r="A6" s="203" t="s">
        <v>93</v>
      </c>
      <c r="B6" s="204">
        <f t="shared" ref="B6:G6" si="0">B7+B20+B24+B30</f>
        <v>22351.5</v>
      </c>
      <c r="C6" s="204">
        <f t="shared" si="0"/>
        <v>0</v>
      </c>
      <c r="D6" s="179">
        <f t="shared" si="0"/>
        <v>16497.84</v>
      </c>
      <c r="E6" s="179">
        <f t="shared" si="0"/>
        <v>5853.66</v>
      </c>
      <c r="F6" s="178">
        <f t="shared" ref="F6:F48" si="1">D6/B6*100</f>
        <v>73.8108851754916</v>
      </c>
      <c r="G6" s="179">
        <f>G7+G20+G24+G30</f>
        <v>16497.84263</v>
      </c>
      <c r="H6" s="179">
        <f t="shared" ref="H6:H47" si="2">SUM(I6:N6)</f>
        <v>14388.44163</v>
      </c>
      <c r="I6" s="179">
        <f t="shared" ref="I6:P6" si="3">SUM(I7,I20,I24,I30)</f>
        <v>4630.9</v>
      </c>
      <c r="J6" s="179">
        <f t="shared" si="3"/>
        <v>6503</v>
      </c>
      <c r="K6" s="179">
        <f t="shared" si="3"/>
        <v>1838.5</v>
      </c>
      <c r="L6" s="179">
        <f t="shared" si="3"/>
        <v>191.7</v>
      </c>
      <c r="M6" s="179">
        <f t="shared" si="3"/>
        <v>520</v>
      </c>
      <c r="N6" s="179">
        <f t="shared" si="3"/>
        <v>704.34163</v>
      </c>
      <c r="O6" s="179">
        <f t="shared" si="3"/>
        <v>2093.16</v>
      </c>
      <c r="P6" s="179">
        <f t="shared" si="3"/>
        <v>16.241</v>
      </c>
    </row>
    <row r="7" ht="42" customHeight="1" spans="1:16">
      <c r="A7" s="185" t="s">
        <v>180</v>
      </c>
      <c r="B7" s="186">
        <f>B8+B15+B18+B19</f>
        <v>12239</v>
      </c>
      <c r="C7" s="186"/>
      <c r="D7" s="186">
        <f>D8+D15+D18+D19</f>
        <v>8865.18</v>
      </c>
      <c r="E7" s="186">
        <f>E8+E15+E18+E19</f>
        <v>3373.82</v>
      </c>
      <c r="F7" s="13">
        <f t="shared" si="1"/>
        <v>72.4338589754065</v>
      </c>
      <c r="G7" s="14">
        <f>SUM(G8,G15,G18,G19)</f>
        <v>8865.18263</v>
      </c>
      <c r="H7" s="14">
        <f t="shared" si="2"/>
        <v>8680.94163</v>
      </c>
      <c r="I7" s="14">
        <f t="shared" ref="I7:N7" si="4">SUM(I8,I18,I19)</f>
        <v>4615.9</v>
      </c>
      <c r="J7" s="14">
        <f t="shared" si="4"/>
        <v>2669</v>
      </c>
      <c r="K7" s="14">
        <v>500</v>
      </c>
      <c r="L7" s="14">
        <f t="shared" si="4"/>
        <v>191.7</v>
      </c>
      <c r="M7" s="14">
        <f t="shared" si="4"/>
        <v>0</v>
      </c>
      <c r="N7" s="14">
        <f t="shared" si="4"/>
        <v>704.34163</v>
      </c>
      <c r="O7" s="14">
        <f>O8+O19+O18</f>
        <v>168</v>
      </c>
      <c r="P7" s="14">
        <f>SUM(P8,P18,P19)</f>
        <v>16.241</v>
      </c>
    </row>
    <row r="8" ht="42" customHeight="1" spans="1:16">
      <c r="A8" s="180" t="s">
        <v>181</v>
      </c>
      <c r="B8" s="186">
        <f t="shared" ref="B8:G8" si="5">SUM(B9:B14)</f>
        <v>11036</v>
      </c>
      <c r="C8" s="187"/>
      <c r="D8" s="14">
        <f t="shared" si="5"/>
        <v>8365.18</v>
      </c>
      <c r="E8" s="14">
        <f t="shared" si="5"/>
        <v>2670.82</v>
      </c>
      <c r="F8" s="13">
        <f t="shared" si="1"/>
        <v>75.7990213845596</v>
      </c>
      <c r="G8" s="14">
        <f t="shared" si="5"/>
        <v>8365.18263</v>
      </c>
      <c r="H8" s="14">
        <f t="shared" si="2"/>
        <v>8180.94163</v>
      </c>
      <c r="I8" s="14">
        <f t="shared" ref="I8:P8" si="6">SUM(I9:I14)</f>
        <v>4615.9</v>
      </c>
      <c r="J8" s="14">
        <f t="shared" si="6"/>
        <v>2669</v>
      </c>
      <c r="K8" s="14">
        <f t="shared" si="6"/>
        <v>0</v>
      </c>
      <c r="L8" s="14">
        <f t="shared" si="6"/>
        <v>191.7</v>
      </c>
      <c r="M8" s="14">
        <f t="shared" si="6"/>
        <v>0</v>
      </c>
      <c r="N8" s="14">
        <f t="shared" si="6"/>
        <v>704.34163</v>
      </c>
      <c r="O8" s="14">
        <f t="shared" si="6"/>
        <v>168</v>
      </c>
      <c r="P8" s="14">
        <f t="shared" si="6"/>
        <v>16.241</v>
      </c>
    </row>
    <row r="9" ht="42" customHeight="1" spans="1:16">
      <c r="A9" s="10" t="s">
        <v>148</v>
      </c>
      <c r="B9" s="11">
        <v>168</v>
      </c>
      <c r="C9" s="15" t="s">
        <v>149</v>
      </c>
      <c r="D9" s="13">
        <v>168</v>
      </c>
      <c r="E9" s="13">
        <f t="shared" ref="E9:E23" si="7">B9-D9</f>
        <v>0</v>
      </c>
      <c r="F9" s="13">
        <f t="shared" si="1"/>
        <v>100</v>
      </c>
      <c r="G9" s="13">
        <f t="shared" ref="G9:G23" si="8">SUM(I9:P9)</f>
        <v>168</v>
      </c>
      <c r="H9" s="14">
        <f t="shared" si="2"/>
        <v>0</v>
      </c>
      <c r="I9" s="13"/>
      <c r="J9" s="13"/>
      <c r="K9" s="13"/>
      <c r="L9" s="196"/>
      <c r="M9" s="196"/>
      <c r="N9" s="196"/>
      <c r="O9" s="13">
        <v>168</v>
      </c>
      <c r="P9" s="13"/>
    </row>
    <row r="10" ht="42" customHeight="1" spans="1:16">
      <c r="A10" s="10" t="s">
        <v>150</v>
      </c>
      <c r="B10" s="11">
        <v>4631</v>
      </c>
      <c r="C10" s="39" t="s">
        <v>151</v>
      </c>
      <c r="D10" s="13">
        <v>4615.9</v>
      </c>
      <c r="E10" s="13">
        <f t="shared" si="7"/>
        <v>15.1000000000004</v>
      </c>
      <c r="F10" s="13">
        <f t="shared" si="1"/>
        <v>99.6739365147916</v>
      </c>
      <c r="G10" s="13">
        <f t="shared" si="8"/>
        <v>4615.9</v>
      </c>
      <c r="H10" s="14">
        <f t="shared" si="2"/>
        <v>4615.9</v>
      </c>
      <c r="I10" s="13">
        <v>4615.9</v>
      </c>
      <c r="J10" s="13"/>
      <c r="K10" s="13"/>
      <c r="L10" s="13"/>
      <c r="M10" s="13"/>
      <c r="N10" s="13"/>
      <c r="O10" s="13"/>
      <c r="P10" s="13"/>
    </row>
    <row r="11" ht="42" customHeight="1" spans="1:16">
      <c r="A11" s="10" t="s">
        <v>152</v>
      </c>
      <c r="B11" s="11">
        <v>2058</v>
      </c>
      <c r="C11" s="15" t="s">
        <v>153</v>
      </c>
      <c r="D11" s="13"/>
      <c r="E11" s="13">
        <f t="shared" si="7"/>
        <v>2058</v>
      </c>
      <c r="F11" s="13">
        <f t="shared" si="1"/>
        <v>0</v>
      </c>
      <c r="G11" s="13">
        <f t="shared" si="8"/>
        <v>0</v>
      </c>
      <c r="H11" s="14">
        <f t="shared" si="2"/>
        <v>0</v>
      </c>
      <c r="I11" s="13"/>
      <c r="J11" s="13"/>
      <c r="K11" s="13"/>
      <c r="L11" s="13"/>
      <c r="M11" s="13"/>
      <c r="N11" s="13"/>
      <c r="O11" s="13"/>
      <c r="P11" s="13"/>
    </row>
    <row r="12" ht="42" customHeight="1" spans="1:16">
      <c r="A12" s="10" t="s">
        <v>154</v>
      </c>
      <c r="B12" s="11">
        <v>567</v>
      </c>
      <c r="C12" s="15" t="s">
        <v>155</v>
      </c>
      <c r="D12" s="13">
        <v>567</v>
      </c>
      <c r="E12" s="13">
        <f t="shared" si="7"/>
        <v>0</v>
      </c>
      <c r="F12" s="13">
        <f t="shared" si="1"/>
        <v>100</v>
      </c>
      <c r="G12" s="13">
        <f t="shared" si="8"/>
        <v>567</v>
      </c>
      <c r="H12" s="14">
        <f t="shared" si="2"/>
        <v>567</v>
      </c>
      <c r="I12" s="196"/>
      <c r="J12" s="13"/>
      <c r="K12" s="13"/>
      <c r="L12" s="13"/>
      <c r="M12" s="13"/>
      <c r="N12" s="13">
        <v>567</v>
      </c>
      <c r="O12" s="13"/>
      <c r="P12" s="13"/>
    </row>
    <row r="13" ht="42" customHeight="1" spans="1:16">
      <c r="A13" s="10" t="s">
        <v>36</v>
      </c>
      <c r="B13" s="11">
        <f>176+380</f>
        <v>556</v>
      </c>
      <c r="C13" s="39" t="s">
        <v>156</v>
      </c>
      <c r="D13" s="13">
        <v>249.59</v>
      </c>
      <c r="E13" s="13">
        <f t="shared" si="7"/>
        <v>306.41</v>
      </c>
      <c r="F13" s="13">
        <f t="shared" si="1"/>
        <v>44.8902877697842</v>
      </c>
      <c r="G13" s="13">
        <f t="shared" si="8"/>
        <v>249.59388</v>
      </c>
      <c r="H13" s="14">
        <f t="shared" si="2"/>
        <v>233.35288</v>
      </c>
      <c r="I13" s="13"/>
      <c r="J13" s="13"/>
      <c r="K13" s="13"/>
      <c r="L13" s="13">
        <v>191.7</v>
      </c>
      <c r="M13" s="13"/>
      <c r="N13" s="13">
        <v>41.65288</v>
      </c>
      <c r="O13" s="13"/>
      <c r="P13" s="13">
        <v>16.241</v>
      </c>
    </row>
    <row r="14" ht="42" customHeight="1" spans="1:16">
      <c r="A14" s="10" t="s">
        <v>33</v>
      </c>
      <c r="B14" s="11">
        <f>387+2669</f>
        <v>3056</v>
      </c>
      <c r="C14" s="15" t="s">
        <v>157</v>
      </c>
      <c r="D14" s="13">
        <f>2669+95.69</f>
        <v>2764.69</v>
      </c>
      <c r="E14" s="13">
        <f t="shared" si="7"/>
        <v>291.31</v>
      </c>
      <c r="F14" s="13">
        <f t="shared" si="1"/>
        <v>90.4676047120419</v>
      </c>
      <c r="G14" s="13">
        <f t="shared" si="8"/>
        <v>2764.68875</v>
      </c>
      <c r="H14" s="14">
        <f t="shared" si="2"/>
        <v>2764.68875</v>
      </c>
      <c r="I14" s="13"/>
      <c r="J14" s="13">
        <v>2669</v>
      </c>
      <c r="K14" s="13"/>
      <c r="L14" s="13"/>
      <c r="M14" s="13"/>
      <c r="N14" s="13">
        <v>95.68875</v>
      </c>
      <c r="O14" s="13"/>
      <c r="P14" s="13"/>
    </row>
    <row r="15" ht="42" customHeight="1" spans="1:16">
      <c r="A15" s="180" t="s">
        <v>182</v>
      </c>
      <c r="B15" s="11">
        <f>B16+B17</f>
        <v>824</v>
      </c>
      <c r="C15" s="15"/>
      <c r="D15" s="13">
        <v>500</v>
      </c>
      <c r="E15" s="13">
        <f t="shared" si="7"/>
        <v>324</v>
      </c>
      <c r="F15" s="13">
        <f t="shared" si="1"/>
        <v>60.6796116504854</v>
      </c>
      <c r="G15" s="13">
        <f t="shared" si="8"/>
        <v>500</v>
      </c>
      <c r="H15" s="14">
        <f t="shared" si="2"/>
        <v>500</v>
      </c>
      <c r="I15" s="13"/>
      <c r="J15" s="13"/>
      <c r="K15" s="13">
        <v>500</v>
      </c>
      <c r="L15" s="13"/>
      <c r="M15" s="13"/>
      <c r="N15" s="13"/>
      <c r="O15" s="13"/>
      <c r="P15" s="13"/>
    </row>
    <row r="16" ht="42" customHeight="1" spans="1:16">
      <c r="A16" s="10" t="s">
        <v>150</v>
      </c>
      <c r="B16" s="11">
        <v>500</v>
      </c>
      <c r="C16" s="15" t="s">
        <v>164</v>
      </c>
      <c r="D16" s="13">
        <v>500</v>
      </c>
      <c r="E16" s="13">
        <f t="shared" si="7"/>
        <v>0</v>
      </c>
      <c r="F16" s="13">
        <f t="shared" si="1"/>
        <v>100</v>
      </c>
      <c r="G16" s="13">
        <f t="shared" si="8"/>
        <v>500</v>
      </c>
      <c r="H16" s="14">
        <f t="shared" si="2"/>
        <v>500</v>
      </c>
      <c r="I16" s="13"/>
      <c r="J16" s="13"/>
      <c r="K16" s="13">
        <v>500</v>
      </c>
      <c r="L16" s="13"/>
      <c r="M16" s="13"/>
      <c r="N16" s="13"/>
      <c r="O16" s="13"/>
      <c r="P16" s="13"/>
    </row>
    <row r="17" ht="42" customHeight="1" spans="1:16">
      <c r="A17" s="10" t="s">
        <v>152</v>
      </c>
      <c r="B17" s="11">
        <v>324</v>
      </c>
      <c r="C17" s="15" t="s">
        <v>155</v>
      </c>
      <c r="D17" s="13"/>
      <c r="E17" s="13">
        <f t="shared" si="7"/>
        <v>324</v>
      </c>
      <c r="F17" s="13">
        <f t="shared" si="1"/>
        <v>0</v>
      </c>
      <c r="G17" s="13">
        <f t="shared" si="8"/>
        <v>0</v>
      </c>
      <c r="H17" s="14">
        <f t="shared" si="2"/>
        <v>0</v>
      </c>
      <c r="I17" s="13"/>
      <c r="J17" s="13"/>
      <c r="K17" s="13"/>
      <c r="L17" s="13"/>
      <c r="M17" s="13"/>
      <c r="N17" s="13"/>
      <c r="O17" s="13"/>
      <c r="P17" s="13"/>
    </row>
    <row r="18" ht="42" customHeight="1" spans="1:16">
      <c r="A18" s="180" t="s">
        <v>183</v>
      </c>
      <c r="B18" s="11">
        <v>329</v>
      </c>
      <c r="C18" s="15" t="s">
        <v>159</v>
      </c>
      <c r="D18" s="13">
        <v>0</v>
      </c>
      <c r="E18" s="13">
        <f t="shared" si="7"/>
        <v>329</v>
      </c>
      <c r="F18" s="13">
        <f t="shared" si="1"/>
        <v>0</v>
      </c>
      <c r="G18" s="13">
        <f t="shared" si="8"/>
        <v>0</v>
      </c>
      <c r="H18" s="14">
        <f t="shared" si="2"/>
        <v>0</v>
      </c>
      <c r="I18" s="13">
        <v>0</v>
      </c>
      <c r="J18" s="13"/>
      <c r="K18" s="13"/>
      <c r="L18" s="13"/>
      <c r="M18" s="13"/>
      <c r="N18" s="13"/>
      <c r="O18" s="13"/>
      <c r="P18" s="13"/>
    </row>
    <row r="19" ht="42" customHeight="1" spans="1:16">
      <c r="A19" s="180" t="s">
        <v>184</v>
      </c>
      <c r="B19" s="11">
        <v>50</v>
      </c>
      <c r="C19" s="15" t="s">
        <v>161</v>
      </c>
      <c r="D19" s="13">
        <v>0</v>
      </c>
      <c r="E19" s="13">
        <f t="shared" si="7"/>
        <v>50</v>
      </c>
      <c r="F19" s="13">
        <f t="shared" si="1"/>
        <v>0</v>
      </c>
      <c r="G19" s="13">
        <f t="shared" si="8"/>
        <v>0</v>
      </c>
      <c r="H19" s="14">
        <f t="shared" si="2"/>
        <v>0</v>
      </c>
      <c r="I19" s="13"/>
      <c r="J19" s="13"/>
      <c r="K19" s="13"/>
      <c r="L19" s="13"/>
      <c r="M19" s="13"/>
      <c r="N19" s="13"/>
      <c r="O19" s="13"/>
      <c r="P19" s="13">
        <v>0</v>
      </c>
    </row>
    <row r="20" ht="42" customHeight="1" spans="1:16">
      <c r="A20" s="185" t="s">
        <v>185</v>
      </c>
      <c r="B20" s="11">
        <f>B21+B22+B23</f>
        <v>4255</v>
      </c>
      <c r="C20" s="15"/>
      <c r="D20" s="13">
        <f>D21+D22+D23</f>
        <v>3279.53</v>
      </c>
      <c r="E20" s="13">
        <f t="shared" si="7"/>
        <v>975.47</v>
      </c>
      <c r="F20" s="13">
        <f t="shared" si="1"/>
        <v>77.0747356051704</v>
      </c>
      <c r="G20" s="13">
        <f t="shared" si="8"/>
        <v>3279.53</v>
      </c>
      <c r="H20" s="14">
        <f t="shared" si="2"/>
        <v>2855</v>
      </c>
      <c r="I20" s="13">
        <f t="shared" ref="I20:P20" si="9">I21+I22+I23</f>
        <v>0</v>
      </c>
      <c r="J20" s="13">
        <f t="shared" si="9"/>
        <v>2855</v>
      </c>
      <c r="K20" s="13">
        <f t="shared" si="9"/>
        <v>0</v>
      </c>
      <c r="L20" s="13">
        <f t="shared" si="9"/>
        <v>0</v>
      </c>
      <c r="M20" s="13">
        <f t="shared" si="9"/>
        <v>0</v>
      </c>
      <c r="N20" s="13">
        <f t="shared" si="9"/>
        <v>0</v>
      </c>
      <c r="O20" s="13">
        <f t="shared" si="9"/>
        <v>424.53</v>
      </c>
      <c r="P20" s="13">
        <f t="shared" si="9"/>
        <v>0</v>
      </c>
    </row>
    <row r="21" ht="42" customHeight="1" spans="1:16">
      <c r="A21" s="10" t="s">
        <v>148</v>
      </c>
      <c r="B21" s="11">
        <v>1329</v>
      </c>
      <c r="C21" s="15" t="s">
        <v>174</v>
      </c>
      <c r="D21" s="13">
        <v>424.53</v>
      </c>
      <c r="E21" s="13">
        <f t="shared" si="7"/>
        <v>904.47</v>
      </c>
      <c r="F21" s="13">
        <f t="shared" si="1"/>
        <v>31.9435665914221</v>
      </c>
      <c r="G21" s="13">
        <f t="shared" si="8"/>
        <v>424.53</v>
      </c>
      <c r="H21" s="14">
        <f t="shared" si="2"/>
        <v>0</v>
      </c>
      <c r="I21" s="13"/>
      <c r="J21" s="13"/>
      <c r="K21" s="13"/>
      <c r="L21" s="13"/>
      <c r="M21" s="13"/>
      <c r="N21" s="13"/>
      <c r="O21" s="13">
        <v>424.53</v>
      </c>
      <c r="P21" s="13"/>
    </row>
    <row r="22" ht="42" customHeight="1" spans="1:16">
      <c r="A22" s="10" t="s">
        <v>150</v>
      </c>
      <c r="B22" s="11">
        <v>2855</v>
      </c>
      <c r="C22" s="15" t="s">
        <v>175</v>
      </c>
      <c r="D22" s="13">
        <v>2855</v>
      </c>
      <c r="E22" s="13">
        <f t="shared" si="7"/>
        <v>0</v>
      </c>
      <c r="F22" s="13">
        <f t="shared" si="1"/>
        <v>100</v>
      </c>
      <c r="G22" s="13">
        <f t="shared" si="8"/>
        <v>2855</v>
      </c>
      <c r="H22" s="14">
        <f t="shared" si="2"/>
        <v>2855</v>
      </c>
      <c r="I22" s="13"/>
      <c r="J22" s="13">
        <v>2855</v>
      </c>
      <c r="K22" s="13"/>
      <c r="L22" s="13"/>
      <c r="M22" s="13"/>
      <c r="N22" s="13"/>
      <c r="O22" s="13"/>
      <c r="P22" s="13"/>
    </row>
    <row r="23" ht="42" customHeight="1" spans="1:16">
      <c r="A23" s="10" t="s">
        <v>152</v>
      </c>
      <c r="B23" s="11">
        <v>71</v>
      </c>
      <c r="C23" s="15" t="s">
        <v>155</v>
      </c>
      <c r="D23" s="13"/>
      <c r="E23" s="13">
        <f t="shared" si="7"/>
        <v>71</v>
      </c>
      <c r="F23" s="13">
        <f t="shared" si="1"/>
        <v>0</v>
      </c>
      <c r="G23" s="13">
        <f t="shared" si="8"/>
        <v>0</v>
      </c>
      <c r="H23" s="14">
        <f t="shared" si="2"/>
        <v>0</v>
      </c>
      <c r="I23" s="13"/>
      <c r="J23" s="13"/>
      <c r="K23" s="13"/>
      <c r="L23" s="13"/>
      <c r="M23" s="13"/>
      <c r="N23" s="13"/>
      <c r="O23" s="13"/>
      <c r="P23" s="13"/>
    </row>
    <row r="24" ht="42" customHeight="1" spans="1:16">
      <c r="A24" s="188" t="s">
        <v>186</v>
      </c>
      <c r="B24" s="11">
        <f t="shared" ref="B24:G24" si="10">SUM(B25:B29)</f>
        <v>2857.5</v>
      </c>
      <c r="C24" s="189"/>
      <c r="D24" s="13">
        <f t="shared" si="10"/>
        <v>2837.5</v>
      </c>
      <c r="E24" s="13">
        <f t="shared" si="10"/>
        <v>20</v>
      </c>
      <c r="F24" s="13">
        <f t="shared" si="1"/>
        <v>99.3000874890639</v>
      </c>
      <c r="G24" s="13">
        <f t="shared" si="10"/>
        <v>2837.5</v>
      </c>
      <c r="H24" s="14">
        <f t="shared" si="2"/>
        <v>2837.5</v>
      </c>
      <c r="I24" s="13">
        <f t="shared" ref="I24:P24" si="11">SUM(I25:I29)</f>
        <v>0</v>
      </c>
      <c r="J24" s="13">
        <f t="shared" si="11"/>
        <v>979</v>
      </c>
      <c r="K24" s="13">
        <f t="shared" si="11"/>
        <v>1338.5</v>
      </c>
      <c r="L24" s="13">
        <f t="shared" si="11"/>
        <v>0</v>
      </c>
      <c r="M24" s="13">
        <f t="shared" si="11"/>
        <v>520</v>
      </c>
      <c r="N24" s="13">
        <f t="shared" si="11"/>
        <v>0</v>
      </c>
      <c r="O24" s="13">
        <f t="shared" si="11"/>
        <v>0</v>
      </c>
      <c r="P24" s="13">
        <f t="shared" si="11"/>
        <v>0</v>
      </c>
    </row>
    <row r="25" ht="42" customHeight="1" spans="1:16">
      <c r="A25" s="10" t="s">
        <v>33</v>
      </c>
      <c r="B25" s="11">
        <v>204</v>
      </c>
      <c r="C25" s="15" t="s">
        <v>143</v>
      </c>
      <c r="D25" s="13">
        <v>204</v>
      </c>
      <c r="E25" s="13">
        <f t="shared" ref="E25:E29" si="12">B25-D25</f>
        <v>0</v>
      </c>
      <c r="F25" s="13">
        <f t="shared" si="1"/>
        <v>100</v>
      </c>
      <c r="G25" s="14">
        <f t="shared" ref="G25:G29" si="13">H25+O25+P25</f>
        <v>204</v>
      </c>
      <c r="H25" s="14">
        <f t="shared" si="2"/>
        <v>204</v>
      </c>
      <c r="I25" s="13"/>
      <c r="J25" s="13">
        <v>204</v>
      </c>
      <c r="K25" s="13"/>
      <c r="L25" s="13"/>
      <c r="M25" s="13"/>
      <c r="N25" s="13"/>
      <c r="O25" s="13"/>
      <c r="P25" s="13"/>
    </row>
    <row r="26" ht="42" customHeight="1" spans="1:16">
      <c r="A26" s="10" t="s">
        <v>150</v>
      </c>
      <c r="B26" s="11">
        <v>775</v>
      </c>
      <c r="C26" s="15" t="s">
        <v>143</v>
      </c>
      <c r="D26" s="13">
        <v>775</v>
      </c>
      <c r="E26" s="13">
        <f t="shared" si="12"/>
        <v>0</v>
      </c>
      <c r="F26" s="13">
        <f t="shared" si="1"/>
        <v>100</v>
      </c>
      <c r="G26" s="14">
        <f t="shared" si="13"/>
        <v>775</v>
      </c>
      <c r="H26" s="14">
        <f t="shared" si="2"/>
        <v>775</v>
      </c>
      <c r="I26" s="13"/>
      <c r="J26" s="13">
        <v>775</v>
      </c>
      <c r="K26" s="13"/>
      <c r="L26" s="13"/>
      <c r="M26" s="13"/>
      <c r="N26" s="13"/>
      <c r="O26" s="13"/>
      <c r="P26" s="13"/>
    </row>
    <row r="27" ht="42" customHeight="1" spans="1:16">
      <c r="A27" s="10" t="s">
        <v>37</v>
      </c>
      <c r="B27" s="11">
        <v>520</v>
      </c>
      <c r="C27" s="15" t="s">
        <v>163</v>
      </c>
      <c r="D27" s="13">
        <v>520</v>
      </c>
      <c r="E27" s="13">
        <f t="shared" si="12"/>
        <v>0</v>
      </c>
      <c r="F27" s="13">
        <f t="shared" si="1"/>
        <v>100</v>
      </c>
      <c r="G27" s="14">
        <f t="shared" si="13"/>
        <v>520</v>
      </c>
      <c r="H27" s="14">
        <f t="shared" si="2"/>
        <v>520</v>
      </c>
      <c r="I27" s="13"/>
      <c r="J27" s="13"/>
      <c r="K27" s="13"/>
      <c r="L27" s="13"/>
      <c r="M27" s="13">
        <v>520</v>
      </c>
      <c r="N27" s="13"/>
      <c r="O27" s="13"/>
      <c r="P27" s="13"/>
    </row>
    <row r="28" ht="42" customHeight="1" spans="1:16">
      <c r="A28" s="10" t="s">
        <v>150</v>
      </c>
      <c r="B28" s="11">
        <v>1338.5</v>
      </c>
      <c r="C28" s="15" t="s">
        <v>164</v>
      </c>
      <c r="D28" s="13">
        <v>1338.5</v>
      </c>
      <c r="E28" s="13">
        <f t="shared" si="12"/>
        <v>0</v>
      </c>
      <c r="F28" s="13">
        <f t="shared" si="1"/>
        <v>100</v>
      </c>
      <c r="G28" s="14">
        <f t="shared" si="13"/>
        <v>1338.5</v>
      </c>
      <c r="H28" s="14">
        <f t="shared" si="2"/>
        <v>1338.5</v>
      </c>
      <c r="I28" s="13"/>
      <c r="J28" s="13"/>
      <c r="K28" s="13">
        <v>1338.5</v>
      </c>
      <c r="L28" s="13"/>
      <c r="M28" s="13"/>
      <c r="N28" s="13"/>
      <c r="O28" s="13"/>
      <c r="P28" s="13"/>
    </row>
    <row r="29" ht="42" customHeight="1" spans="1:16">
      <c r="A29" s="10" t="s">
        <v>150</v>
      </c>
      <c r="B29" s="11">
        <v>20</v>
      </c>
      <c r="C29" s="15" t="s">
        <v>187</v>
      </c>
      <c r="D29" s="13"/>
      <c r="E29" s="13">
        <f t="shared" si="12"/>
        <v>20</v>
      </c>
      <c r="F29" s="13">
        <f t="shared" si="1"/>
        <v>0</v>
      </c>
      <c r="G29" s="14">
        <f t="shared" si="13"/>
        <v>0</v>
      </c>
      <c r="H29" s="14">
        <f t="shared" si="2"/>
        <v>0</v>
      </c>
      <c r="I29" s="13"/>
      <c r="J29" s="13"/>
      <c r="K29" s="13"/>
      <c r="L29" s="13"/>
      <c r="M29" s="13"/>
      <c r="N29" s="13"/>
      <c r="O29" s="13"/>
      <c r="P29" s="85"/>
    </row>
    <row r="30" ht="42" customHeight="1" spans="1:16">
      <c r="A30" s="185" t="s">
        <v>188</v>
      </c>
      <c r="B30" s="11">
        <f t="shared" ref="B30:G30" si="14">B31+B32+B33+B34</f>
        <v>3000</v>
      </c>
      <c r="C30" s="15"/>
      <c r="D30" s="13">
        <f t="shared" si="14"/>
        <v>1515.63</v>
      </c>
      <c r="E30" s="13">
        <f t="shared" si="14"/>
        <v>1484.37</v>
      </c>
      <c r="F30" s="13">
        <f t="shared" si="1"/>
        <v>50.521</v>
      </c>
      <c r="G30" s="13">
        <f t="shared" si="14"/>
        <v>1515.63</v>
      </c>
      <c r="H30" s="14">
        <f t="shared" si="2"/>
        <v>15</v>
      </c>
      <c r="I30" s="13">
        <f t="shared" ref="I30:O30" si="15">I31+I32+I33+I34</f>
        <v>15</v>
      </c>
      <c r="J30" s="13">
        <f t="shared" si="15"/>
        <v>0</v>
      </c>
      <c r="K30" s="13">
        <f t="shared" si="15"/>
        <v>0</v>
      </c>
      <c r="L30" s="13">
        <f t="shared" si="15"/>
        <v>0</v>
      </c>
      <c r="M30" s="13">
        <f t="shared" si="15"/>
        <v>0</v>
      </c>
      <c r="N30" s="13">
        <f t="shared" si="15"/>
        <v>0</v>
      </c>
      <c r="O30" s="13">
        <f t="shared" si="15"/>
        <v>1500.63</v>
      </c>
      <c r="P30" s="13"/>
    </row>
    <row r="31" ht="42" customHeight="1" spans="1:16">
      <c r="A31" s="10" t="s">
        <v>150</v>
      </c>
      <c r="B31" s="11">
        <v>20</v>
      </c>
      <c r="C31" s="15" t="s">
        <v>176</v>
      </c>
      <c r="D31" s="13">
        <v>15</v>
      </c>
      <c r="E31" s="13">
        <f t="shared" ref="E31:E34" si="16">B31-D31</f>
        <v>5</v>
      </c>
      <c r="F31" s="13">
        <f t="shared" si="1"/>
        <v>75</v>
      </c>
      <c r="G31" s="14">
        <f t="shared" ref="G31:G34" si="17">H31+O31+P31</f>
        <v>15</v>
      </c>
      <c r="H31" s="14">
        <f t="shared" si="2"/>
        <v>15</v>
      </c>
      <c r="I31" s="13">
        <v>15</v>
      </c>
      <c r="J31" s="13"/>
      <c r="K31" s="13"/>
      <c r="L31" s="13"/>
      <c r="M31" s="13"/>
      <c r="N31" s="13"/>
      <c r="O31" s="13"/>
      <c r="P31" s="13"/>
    </row>
    <row r="32" ht="42" customHeight="1" spans="1:16">
      <c r="A32" s="10" t="s">
        <v>35</v>
      </c>
      <c r="B32" s="11">
        <v>1000</v>
      </c>
      <c r="C32" s="15" t="s">
        <v>177</v>
      </c>
      <c r="D32" s="13"/>
      <c r="E32" s="13">
        <f t="shared" si="16"/>
        <v>1000</v>
      </c>
      <c r="F32" s="13">
        <f t="shared" si="1"/>
        <v>0</v>
      </c>
      <c r="G32" s="14">
        <f t="shared" si="17"/>
        <v>0</v>
      </c>
      <c r="H32" s="14">
        <f t="shared" si="2"/>
        <v>0</v>
      </c>
      <c r="I32" s="13"/>
      <c r="J32" s="13"/>
      <c r="K32" s="13"/>
      <c r="L32" s="13"/>
      <c r="M32" s="13"/>
      <c r="N32" s="13"/>
      <c r="O32" s="13"/>
      <c r="P32" s="13"/>
    </row>
    <row r="33" ht="42" customHeight="1" spans="1:16">
      <c r="A33" s="10" t="s">
        <v>148</v>
      </c>
      <c r="B33" s="11">
        <v>1680</v>
      </c>
      <c r="C33" s="15" t="s">
        <v>174</v>
      </c>
      <c r="D33" s="13">
        <v>1500.63</v>
      </c>
      <c r="E33" s="13">
        <f t="shared" si="16"/>
        <v>179.37</v>
      </c>
      <c r="F33" s="13">
        <f t="shared" si="1"/>
        <v>89.3232142857143</v>
      </c>
      <c r="G33" s="14">
        <f t="shared" si="17"/>
        <v>1500.63</v>
      </c>
      <c r="H33" s="14">
        <f t="shared" si="2"/>
        <v>0</v>
      </c>
      <c r="I33" s="13"/>
      <c r="J33" s="13"/>
      <c r="K33" s="13"/>
      <c r="L33" s="13"/>
      <c r="M33" s="13"/>
      <c r="N33" s="13"/>
      <c r="O33" s="13">
        <v>1500.63</v>
      </c>
      <c r="P33" s="13"/>
    </row>
    <row r="34" ht="42" customHeight="1" spans="1:16">
      <c r="A34" s="10" t="s">
        <v>36</v>
      </c>
      <c r="B34" s="11">
        <v>300</v>
      </c>
      <c r="C34" s="15" t="s">
        <v>178</v>
      </c>
      <c r="D34" s="13"/>
      <c r="E34" s="13">
        <f t="shared" si="16"/>
        <v>300</v>
      </c>
      <c r="F34" s="13">
        <f t="shared" si="1"/>
        <v>0</v>
      </c>
      <c r="G34" s="14">
        <f t="shared" si="17"/>
        <v>0</v>
      </c>
      <c r="H34" s="14">
        <f t="shared" si="2"/>
        <v>0</v>
      </c>
      <c r="I34" s="13"/>
      <c r="J34" s="13"/>
      <c r="K34" s="13"/>
      <c r="L34" s="13"/>
      <c r="M34" s="13"/>
      <c r="N34" s="13"/>
      <c r="O34" s="13"/>
      <c r="P34" s="13"/>
    </row>
    <row r="35" ht="42" customHeight="1" spans="1:16">
      <c r="A35" s="205" t="s">
        <v>102</v>
      </c>
      <c r="B35" s="11">
        <f t="shared" ref="B35:G35" si="18">B36+B42</f>
        <v>3000</v>
      </c>
      <c r="C35" s="11">
        <f t="shared" si="18"/>
        <v>0</v>
      </c>
      <c r="D35" s="11">
        <f t="shared" si="18"/>
        <v>1605.66</v>
      </c>
      <c r="E35" s="11">
        <f t="shared" si="18"/>
        <v>1394.34</v>
      </c>
      <c r="F35" s="13">
        <f t="shared" si="1"/>
        <v>53.522</v>
      </c>
      <c r="G35" s="11">
        <f t="shared" si="18"/>
        <v>1605.66</v>
      </c>
      <c r="H35" s="14">
        <f t="shared" si="2"/>
        <v>1525.66</v>
      </c>
      <c r="I35" s="11">
        <f t="shared" ref="I35:P35" si="19">I36+I42</f>
        <v>0</v>
      </c>
      <c r="J35" s="11">
        <f t="shared" si="19"/>
        <v>901.6</v>
      </c>
      <c r="K35" s="11">
        <f t="shared" si="19"/>
        <v>340</v>
      </c>
      <c r="L35" s="11">
        <f t="shared" si="19"/>
        <v>254.06</v>
      </c>
      <c r="M35" s="11">
        <f t="shared" si="19"/>
        <v>30</v>
      </c>
      <c r="N35" s="11">
        <f t="shared" si="19"/>
        <v>0</v>
      </c>
      <c r="O35" s="11">
        <f t="shared" si="19"/>
        <v>0</v>
      </c>
      <c r="P35" s="11">
        <f t="shared" si="19"/>
        <v>80</v>
      </c>
    </row>
    <row r="36" ht="42" customHeight="1" spans="1:16">
      <c r="A36" s="180" t="s">
        <v>189</v>
      </c>
      <c r="B36" s="11">
        <f t="shared" ref="B36:G36" si="20">SUM(B37:B41)</f>
        <v>2350</v>
      </c>
      <c r="C36" s="11">
        <f t="shared" si="20"/>
        <v>0</v>
      </c>
      <c r="D36" s="11">
        <f t="shared" si="20"/>
        <v>1525.66</v>
      </c>
      <c r="E36" s="11">
        <f t="shared" si="20"/>
        <v>824.34</v>
      </c>
      <c r="F36" s="13">
        <f t="shared" si="1"/>
        <v>64.9217021276596</v>
      </c>
      <c r="G36" s="11">
        <f t="shared" si="20"/>
        <v>1525.66</v>
      </c>
      <c r="H36" s="14">
        <f t="shared" si="2"/>
        <v>1525.66</v>
      </c>
      <c r="I36" s="11">
        <f t="shared" ref="I36:P36" si="21">SUM(I37:I41)</f>
        <v>0</v>
      </c>
      <c r="J36" s="11">
        <f t="shared" si="21"/>
        <v>901.6</v>
      </c>
      <c r="K36" s="11">
        <f t="shared" si="21"/>
        <v>340</v>
      </c>
      <c r="L36" s="11">
        <f t="shared" si="21"/>
        <v>254.06</v>
      </c>
      <c r="M36" s="11">
        <f t="shared" si="21"/>
        <v>30</v>
      </c>
      <c r="N36" s="11">
        <f t="shared" si="21"/>
        <v>0</v>
      </c>
      <c r="O36" s="11">
        <f t="shared" si="21"/>
        <v>0</v>
      </c>
      <c r="P36" s="11">
        <f t="shared" si="21"/>
        <v>0</v>
      </c>
    </row>
    <row r="37" ht="42" customHeight="1" spans="1:16">
      <c r="A37" s="10" t="s">
        <v>150</v>
      </c>
      <c r="B37" s="11">
        <v>1020</v>
      </c>
      <c r="C37" s="12" t="s">
        <v>167</v>
      </c>
      <c r="D37" s="13">
        <v>901.6</v>
      </c>
      <c r="E37" s="13">
        <f t="shared" ref="E37:E47" si="22">B37-D37</f>
        <v>118.4</v>
      </c>
      <c r="F37" s="13">
        <f t="shared" si="1"/>
        <v>88.3921568627451</v>
      </c>
      <c r="G37" s="14">
        <f t="shared" ref="G37:G47" si="23">H37+O37+P37</f>
        <v>901.6</v>
      </c>
      <c r="H37" s="14">
        <f t="shared" si="2"/>
        <v>901.6</v>
      </c>
      <c r="I37" s="13">
        <v>0</v>
      </c>
      <c r="J37" s="13">
        <v>901.6</v>
      </c>
      <c r="K37" s="13"/>
      <c r="L37" s="13"/>
      <c r="M37" s="13"/>
      <c r="N37" s="13"/>
      <c r="O37" s="13"/>
      <c r="P37" s="13"/>
    </row>
    <row r="38" ht="42" customHeight="1" spans="1:16">
      <c r="A38" s="10" t="s">
        <v>37</v>
      </c>
      <c r="B38" s="11">
        <v>100</v>
      </c>
      <c r="C38" s="15" t="s">
        <v>168</v>
      </c>
      <c r="D38" s="13">
        <v>29.06</v>
      </c>
      <c r="E38" s="13">
        <f t="shared" si="22"/>
        <v>70.94</v>
      </c>
      <c r="F38" s="13">
        <f t="shared" si="1"/>
        <v>29.06</v>
      </c>
      <c r="G38" s="14">
        <f t="shared" si="23"/>
        <v>29.06</v>
      </c>
      <c r="H38" s="14">
        <f t="shared" si="2"/>
        <v>29.06</v>
      </c>
      <c r="I38" s="13">
        <v>0</v>
      </c>
      <c r="J38" s="13"/>
      <c r="K38" s="13"/>
      <c r="L38" s="13">
        <v>29.06</v>
      </c>
      <c r="M38" s="13"/>
      <c r="N38" s="13"/>
      <c r="O38" s="13"/>
      <c r="P38" s="13"/>
    </row>
    <row r="39" ht="42" customHeight="1" spans="1:16">
      <c r="A39" s="10" t="s">
        <v>150</v>
      </c>
      <c r="B39" s="11">
        <v>400</v>
      </c>
      <c r="C39" s="12" t="s">
        <v>164</v>
      </c>
      <c r="D39" s="13">
        <v>340</v>
      </c>
      <c r="E39" s="13">
        <f t="shared" si="22"/>
        <v>60</v>
      </c>
      <c r="F39" s="13">
        <f t="shared" si="1"/>
        <v>85</v>
      </c>
      <c r="G39" s="14">
        <f t="shared" si="23"/>
        <v>340</v>
      </c>
      <c r="H39" s="14">
        <f t="shared" si="2"/>
        <v>340</v>
      </c>
      <c r="I39" s="13"/>
      <c r="J39" s="13"/>
      <c r="K39" s="13">
        <v>340</v>
      </c>
      <c r="L39" s="13"/>
      <c r="M39" s="13"/>
      <c r="N39" s="13"/>
      <c r="O39" s="13"/>
      <c r="P39" s="13"/>
    </row>
    <row r="40" ht="42" customHeight="1" spans="1:16">
      <c r="A40" s="10" t="s">
        <v>37</v>
      </c>
      <c r="B40" s="11">
        <v>780</v>
      </c>
      <c r="C40" s="15" t="s">
        <v>163</v>
      </c>
      <c r="D40" s="13">
        <v>230</v>
      </c>
      <c r="E40" s="13">
        <f t="shared" si="22"/>
        <v>550</v>
      </c>
      <c r="F40" s="13">
        <f t="shared" si="1"/>
        <v>29.4871794871795</v>
      </c>
      <c r="G40" s="14">
        <f t="shared" si="23"/>
        <v>230</v>
      </c>
      <c r="H40" s="14">
        <f t="shared" si="2"/>
        <v>230</v>
      </c>
      <c r="I40" s="13"/>
      <c r="J40" s="13"/>
      <c r="K40" s="13"/>
      <c r="L40" s="13">
        <v>200</v>
      </c>
      <c r="M40" s="13">
        <v>30</v>
      </c>
      <c r="N40" s="13"/>
      <c r="O40" s="13"/>
      <c r="P40" s="13"/>
    </row>
    <row r="41" ht="42" customHeight="1" spans="1:16">
      <c r="A41" s="10" t="s">
        <v>150</v>
      </c>
      <c r="B41" s="11">
        <v>50</v>
      </c>
      <c r="C41" s="15" t="s">
        <v>169</v>
      </c>
      <c r="D41" s="13">
        <v>25</v>
      </c>
      <c r="E41" s="13">
        <f t="shared" si="22"/>
        <v>25</v>
      </c>
      <c r="F41" s="13">
        <f t="shared" si="1"/>
        <v>50</v>
      </c>
      <c r="G41" s="14">
        <f t="shared" si="23"/>
        <v>25</v>
      </c>
      <c r="H41" s="14">
        <f t="shared" si="2"/>
        <v>25</v>
      </c>
      <c r="I41" s="13">
        <v>0</v>
      </c>
      <c r="J41" s="13"/>
      <c r="K41" s="13"/>
      <c r="L41" s="13">
        <v>25</v>
      </c>
      <c r="M41" s="13"/>
      <c r="N41" s="13"/>
      <c r="O41" s="13"/>
      <c r="P41" s="13"/>
    </row>
    <row r="42" ht="42" customHeight="1" spans="1:16">
      <c r="A42" s="180" t="s">
        <v>190</v>
      </c>
      <c r="B42" s="11">
        <f>SUM(B43:B47)</f>
        <v>650</v>
      </c>
      <c r="C42" s="11">
        <f>SUM(C43:C47)</f>
        <v>0</v>
      </c>
      <c r="D42" s="13">
        <f>SUM(D43:D47)</f>
        <v>80</v>
      </c>
      <c r="E42" s="13">
        <f t="shared" si="22"/>
        <v>570</v>
      </c>
      <c r="F42" s="13">
        <f t="shared" si="1"/>
        <v>12.3076923076923</v>
      </c>
      <c r="G42" s="14">
        <f t="shared" si="23"/>
        <v>80</v>
      </c>
      <c r="H42" s="14">
        <f t="shared" si="2"/>
        <v>0</v>
      </c>
      <c r="I42" s="11">
        <f t="shared" ref="I42:P42" si="24">SUM(I43:I47)</f>
        <v>0</v>
      </c>
      <c r="J42" s="11">
        <f t="shared" si="24"/>
        <v>0</v>
      </c>
      <c r="K42" s="11">
        <f t="shared" si="24"/>
        <v>0</v>
      </c>
      <c r="L42" s="11">
        <f t="shared" si="24"/>
        <v>0</v>
      </c>
      <c r="M42" s="11">
        <f t="shared" si="24"/>
        <v>0</v>
      </c>
      <c r="N42" s="11">
        <f t="shared" si="24"/>
        <v>0</v>
      </c>
      <c r="O42" s="11">
        <f t="shared" si="24"/>
        <v>0</v>
      </c>
      <c r="P42" s="11">
        <f t="shared" si="24"/>
        <v>80</v>
      </c>
    </row>
    <row r="43" ht="42" customHeight="1" spans="1:16">
      <c r="A43" s="10" t="s">
        <v>191</v>
      </c>
      <c r="B43" s="11">
        <v>150</v>
      </c>
      <c r="C43" s="15" t="s">
        <v>192</v>
      </c>
      <c r="D43" s="13"/>
      <c r="E43" s="13">
        <f t="shared" si="22"/>
        <v>150</v>
      </c>
      <c r="F43" s="13">
        <f t="shared" si="1"/>
        <v>0</v>
      </c>
      <c r="G43" s="14">
        <f t="shared" si="23"/>
        <v>0</v>
      </c>
      <c r="H43" s="14">
        <f t="shared" si="2"/>
        <v>0</v>
      </c>
      <c r="I43" s="13"/>
      <c r="J43" s="13"/>
      <c r="K43" s="13"/>
      <c r="L43" s="13"/>
      <c r="M43" s="13"/>
      <c r="N43" s="13"/>
      <c r="O43" s="13"/>
      <c r="P43" s="13"/>
    </row>
    <row r="44" ht="42" customHeight="1" spans="1:16">
      <c r="A44" s="10" t="s">
        <v>150</v>
      </c>
      <c r="B44" s="11">
        <v>140</v>
      </c>
      <c r="C44" s="15" t="s">
        <v>193</v>
      </c>
      <c r="D44" s="13"/>
      <c r="E44" s="13">
        <f t="shared" si="22"/>
        <v>140</v>
      </c>
      <c r="F44" s="13">
        <f t="shared" si="1"/>
        <v>0</v>
      </c>
      <c r="G44" s="14">
        <f t="shared" si="23"/>
        <v>0</v>
      </c>
      <c r="H44" s="14">
        <f t="shared" si="2"/>
        <v>0</v>
      </c>
      <c r="I44" s="13"/>
      <c r="J44" s="13"/>
      <c r="K44" s="13"/>
      <c r="L44" s="13"/>
      <c r="M44" s="13"/>
      <c r="N44" s="13"/>
      <c r="O44" s="13"/>
      <c r="P44" s="13"/>
    </row>
    <row r="45" ht="42" customHeight="1" spans="1:16">
      <c r="A45" s="10" t="s">
        <v>150</v>
      </c>
      <c r="B45" s="11">
        <v>100</v>
      </c>
      <c r="C45" s="15" t="s">
        <v>194</v>
      </c>
      <c r="D45" s="13"/>
      <c r="E45" s="13">
        <f t="shared" si="22"/>
        <v>100</v>
      </c>
      <c r="F45" s="13">
        <f t="shared" si="1"/>
        <v>0</v>
      </c>
      <c r="G45" s="14">
        <f t="shared" si="23"/>
        <v>0</v>
      </c>
      <c r="H45" s="14">
        <f t="shared" si="2"/>
        <v>0</v>
      </c>
      <c r="I45" s="13"/>
      <c r="J45" s="13"/>
      <c r="K45" s="13"/>
      <c r="L45" s="13"/>
      <c r="M45" s="13"/>
      <c r="N45" s="13"/>
      <c r="O45" s="13"/>
      <c r="P45" s="13"/>
    </row>
    <row r="46" ht="42" customHeight="1" spans="1:16">
      <c r="A46" s="10" t="s">
        <v>195</v>
      </c>
      <c r="B46" s="11">
        <v>100</v>
      </c>
      <c r="C46" s="15" t="s">
        <v>196</v>
      </c>
      <c r="D46" s="13"/>
      <c r="E46" s="13">
        <f t="shared" si="22"/>
        <v>100</v>
      </c>
      <c r="F46" s="13">
        <f t="shared" si="1"/>
        <v>0</v>
      </c>
      <c r="G46" s="14">
        <f t="shared" si="23"/>
        <v>0</v>
      </c>
      <c r="H46" s="14">
        <f t="shared" si="2"/>
        <v>0</v>
      </c>
      <c r="I46" s="13"/>
      <c r="J46" s="13"/>
      <c r="K46" s="13"/>
      <c r="L46" s="13"/>
      <c r="M46" s="13"/>
      <c r="N46" s="13"/>
      <c r="O46" s="13"/>
      <c r="P46" s="13"/>
    </row>
    <row r="47" ht="42" customHeight="1" spans="1:16">
      <c r="A47" s="10" t="s">
        <v>197</v>
      </c>
      <c r="B47" s="11">
        <v>160</v>
      </c>
      <c r="C47" s="15" t="s">
        <v>198</v>
      </c>
      <c r="D47" s="13">
        <v>80</v>
      </c>
      <c r="E47" s="13">
        <f t="shared" si="22"/>
        <v>80</v>
      </c>
      <c r="F47" s="13">
        <f t="shared" si="1"/>
        <v>50</v>
      </c>
      <c r="G47" s="14">
        <f t="shared" si="23"/>
        <v>80</v>
      </c>
      <c r="H47" s="14">
        <f t="shared" si="2"/>
        <v>0</v>
      </c>
      <c r="I47" s="13"/>
      <c r="J47" s="13"/>
      <c r="K47" s="13"/>
      <c r="L47" s="13"/>
      <c r="M47" s="13"/>
      <c r="N47" s="13"/>
      <c r="O47" s="13"/>
      <c r="P47" s="13">
        <v>80</v>
      </c>
    </row>
    <row r="48" ht="43" customHeight="1" spans="1:16">
      <c r="A48" s="206" t="s">
        <v>27</v>
      </c>
      <c r="B48" s="177">
        <f t="shared" ref="B48:P48" si="25">B35+B6</f>
        <v>25351.5</v>
      </c>
      <c r="C48" s="177">
        <f t="shared" si="25"/>
        <v>0</v>
      </c>
      <c r="D48" s="178">
        <f t="shared" si="25"/>
        <v>18103.5</v>
      </c>
      <c r="E48" s="178">
        <f t="shared" si="25"/>
        <v>7248</v>
      </c>
      <c r="F48" s="178">
        <f t="shared" si="1"/>
        <v>71.4099757410804</v>
      </c>
      <c r="G48" s="178">
        <f t="shared" si="25"/>
        <v>18103.50263</v>
      </c>
      <c r="H48" s="178">
        <f t="shared" si="25"/>
        <v>15914.10163</v>
      </c>
      <c r="I48" s="178">
        <f t="shared" si="25"/>
        <v>4630.9</v>
      </c>
      <c r="J48" s="178">
        <f t="shared" si="25"/>
        <v>7404.6</v>
      </c>
      <c r="K48" s="178">
        <f t="shared" si="25"/>
        <v>2178.5</v>
      </c>
      <c r="L48" s="178">
        <f t="shared" si="25"/>
        <v>445.76</v>
      </c>
      <c r="M48" s="178">
        <f t="shared" si="25"/>
        <v>550</v>
      </c>
      <c r="N48" s="178">
        <f t="shared" si="25"/>
        <v>704.34163</v>
      </c>
      <c r="O48" s="178">
        <f t="shared" si="25"/>
        <v>2093.16</v>
      </c>
      <c r="P48" s="178">
        <f t="shared" si="25"/>
        <v>96.241</v>
      </c>
    </row>
    <row r="49" ht="43" customHeight="1" spans="1:16">
      <c r="A49" s="207" t="s">
        <v>203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</row>
    <row r="50" ht="40" customHeight="1" spans="1:16">
      <c r="A50" s="209" t="s">
        <v>170</v>
      </c>
      <c r="B50" s="210">
        <f t="shared" ref="B50:P50" si="26">SUM(B51:B63)</f>
        <v>25351.5</v>
      </c>
      <c r="C50" s="211"/>
      <c r="D50" s="211">
        <f t="shared" si="26"/>
        <v>18103.5</v>
      </c>
      <c r="E50" s="211">
        <f t="shared" si="26"/>
        <v>7248</v>
      </c>
      <c r="F50" s="211">
        <f t="shared" ref="F50:F63" si="27">D50/B50*100</f>
        <v>71.4099757410804</v>
      </c>
      <c r="G50" s="211">
        <f t="shared" si="26"/>
        <v>18103.50263</v>
      </c>
      <c r="H50" s="211">
        <f t="shared" si="26"/>
        <v>15914.10163</v>
      </c>
      <c r="I50" s="211">
        <f t="shared" si="26"/>
        <v>4630.9</v>
      </c>
      <c r="J50" s="211">
        <f t="shared" si="26"/>
        <v>7404.6</v>
      </c>
      <c r="K50" s="211">
        <f t="shared" si="26"/>
        <v>2178.5</v>
      </c>
      <c r="L50" s="211">
        <f t="shared" si="26"/>
        <v>445.76</v>
      </c>
      <c r="M50" s="211">
        <f t="shared" si="26"/>
        <v>550</v>
      </c>
      <c r="N50" s="211">
        <f t="shared" si="26"/>
        <v>704.34163</v>
      </c>
      <c r="O50" s="211">
        <f t="shared" si="26"/>
        <v>2093.16</v>
      </c>
      <c r="P50" s="211">
        <f t="shared" si="26"/>
        <v>96.241</v>
      </c>
    </row>
    <row r="51" ht="40" customHeight="1" spans="1:16">
      <c r="A51" s="10" t="s">
        <v>148</v>
      </c>
      <c r="B51" s="13">
        <f t="shared" ref="B51:P51" si="28">B9+B21+B33</f>
        <v>3177</v>
      </c>
      <c r="C51" s="13"/>
      <c r="D51" s="13">
        <f t="shared" si="28"/>
        <v>2093.16</v>
      </c>
      <c r="E51" s="13">
        <f t="shared" si="28"/>
        <v>1083.84</v>
      </c>
      <c r="F51" s="13">
        <f t="shared" si="27"/>
        <v>65.8847969782814</v>
      </c>
      <c r="G51" s="13">
        <f t="shared" si="28"/>
        <v>2093.16</v>
      </c>
      <c r="H51" s="13">
        <f t="shared" si="28"/>
        <v>0</v>
      </c>
      <c r="I51" s="13">
        <f t="shared" si="28"/>
        <v>0</v>
      </c>
      <c r="J51" s="13">
        <f t="shared" si="28"/>
        <v>0</v>
      </c>
      <c r="K51" s="13">
        <f t="shared" si="28"/>
        <v>0</v>
      </c>
      <c r="L51" s="13">
        <f t="shared" si="28"/>
        <v>0</v>
      </c>
      <c r="M51" s="13">
        <f t="shared" si="28"/>
        <v>0</v>
      </c>
      <c r="N51" s="13">
        <f t="shared" si="28"/>
        <v>0</v>
      </c>
      <c r="O51" s="13">
        <f t="shared" si="28"/>
        <v>2093.16</v>
      </c>
      <c r="P51" s="13">
        <f t="shared" si="28"/>
        <v>0</v>
      </c>
    </row>
    <row r="52" ht="40" customHeight="1" spans="1:16">
      <c r="A52" s="10" t="s">
        <v>150</v>
      </c>
      <c r="B52" s="13">
        <f t="shared" ref="B52:P52" si="29">B10+B16+B22+B29+B31+B44+B45+B26+B28+B37+B39+B41</f>
        <v>11849.5</v>
      </c>
      <c r="C52" s="13"/>
      <c r="D52" s="13">
        <f t="shared" si="29"/>
        <v>11366</v>
      </c>
      <c r="E52" s="13">
        <f t="shared" si="29"/>
        <v>483.5</v>
      </c>
      <c r="F52" s="13">
        <f t="shared" si="27"/>
        <v>95.9196590573442</v>
      </c>
      <c r="G52" s="13">
        <f t="shared" si="29"/>
        <v>11366</v>
      </c>
      <c r="H52" s="13">
        <f t="shared" si="29"/>
        <v>11366</v>
      </c>
      <c r="I52" s="13">
        <f t="shared" si="29"/>
        <v>4630.9</v>
      </c>
      <c r="J52" s="13">
        <f t="shared" si="29"/>
        <v>4531.6</v>
      </c>
      <c r="K52" s="13">
        <f t="shared" si="29"/>
        <v>2178.5</v>
      </c>
      <c r="L52" s="13">
        <f t="shared" si="29"/>
        <v>25</v>
      </c>
      <c r="M52" s="13">
        <f t="shared" si="29"/>
        <v>0</v>
      </c>
      <c r="N52" s="13">
        <f t="shared" si="29"/>
        <v>0</v>
      </c>
      <c r="O52" s="13">
        <f t="shared" si="29"/>
        <v>0</v>
      </c>
      <c r="P52" s="13">
        <f t="shared" si="29"/>
        <v>0</v>
      </c>
    </row>
    <row r="53" ht="40" customHeight="1" spans="1:16">
      <c r="A53" s="10" t="s">
        <v>152</v>
      </c>
      <c r="B53" s="13">
        <f t="shared" ref="B53:P53" si="30">B11+B17+B23</f>
        <v>2453</v>
      </c>
      <c r="C53" s="13"/>
      <c r="D53" s="13">
        <f t="shared" si="30"/>
        <v>0</v>
      </c>
      <c r="E53" s="13">
        <f t="shared" si="30"/>
        <v>2453</v>
      </c>
      <c r="F53" s="13">
        <f t="shared" si="27"/>
        <v>0</v>
      </c>
      <c r="G53" s="13">
        <f t="shared" si="30"/>
        <v>0</v>
      </c>
      <c r="H53" s="13">
        <f t="shared" si="30"/>
        <v>0</v>
      </c>
      <c r="I53" s="13">
        <f t="shared" si="30"/>
        <v>0</v>
      </c>
      <c r="J53" s="13">
        <f t="shared" si="30"/>
        <v>0</v>
      </c>
      <c r="K53" s="13">
        <f t="shared" si="30"/>
        <v>0</v>
      </c>
      <c r="L53" s="13">
        <f t="shared" si="30"/>
        <v>0</v>
      </c>
      <c r="M53" s="13">
        <f t="shared" si="30"/>
        <v>0</v>
      </c>
      <c r="N53" s="13">
        <f t="shared" si="30"/>
        <v>0</v>
      </c>
      <c r="O53" s="13">
        <f t="shared" si="30"/>
        <v>0</v>
      </c>
      <c r="P53" s="13">
        <f t="shared" si="30"/>
        <v>0</v>
      </c>
    </row>
    <row r="54" ht="40" customHeight="1" spans="1:16">
      <c r="A54" s="10" t="s">
        <v>154</v>
      </c>
      <c r="B54" s="13">
        <f t="shared" ref="B54:P54" si="31">B12</f>
        <v>567</v>
      </c>
      <c r="C54" s="13"/>
      <c r="D54" s="13">
        <f t="shared" si="31"/>
        <v>567</v>
      </c>
      <c r="E54" s="13">
        <f t="shared" si="31"/>
        <v>0</v>
      </c>
      <c r="F54" s="13">
        <f t="shared" si="27"/>
        <v>100</v>
      </c>
      <c r="G54" s="13">
        <f t="shared" si="31"/>
        <v>567</v>
      </c>
      <c r="H54" s="13">
        <f t="shared" si="31"/>
        <v>567</v>
      </c>
      <c r="I54" s="13">
        <f t="shared" si="31"/>
        <v>0</v>
      </c>
      <c r="J54" s="13">
        <f t="shared" si="31"/>
        <v>0</v>
      </c>
      <c r="K54" s="13">
        <f t="shared" si="31"/>
        <v>0</v>
      </c>
      <c r="L54" s="13">
        <f t="shared" si="31"/>
        <v>0</v>
      </c>
      <c r="M54" s="13">
        <f t="shared" si="31"/>
        <v>0</v>
      </c>
      <c r="N54" s="13">
        <f t="shared" si="31"/>
        <v>567</v>
      </c>
      <c r="O54" s="13">
        <f t="shared" si="31"/>
        <v>0</v>
      </c>
      <c r="P54" s="13">
        <f t="shared" si="31"/>
        <v>0</v>
      </c>
    </row>
    <row r="55" ht="40" customHeight="1" spans="1:16">
      <c r="A55" s="10" t="s">
        <v>36</v>
      </c>
      <c r="B55" s="13">
        <f t="shared" ref="B55:P55" si="32">B13+B34</f>
        <v>856</v>
      </c>
      <c r="C55" s="13"/>
      <c r="D55" s="13">
        <f t="shared" si="32"/>
        <v>249.59</v>
      </c>
      <c r="E55" s="13">
        <f t="shared" si="32"/>
        <v>606.41</v>
      </c>
      <c r="F55" s="13">
        <f t="shared" si="27"/>
        <v>29.1577102803738</v>
      </c>
      <c r="G55" s="13">
        <f t="shared" si="32"/>
        <v>249.59388</v>
      </c>
      <c r="H55" s="13">
        <f t="shared" si="32"/>
        <v>233.35288</v>
      </c>
      <c r="I55" s="13">
        <f t="shared" si="32"/>
        <v>0</v>
      </c>
      <c r="J55" s="13">
        <f t="shared" si="32"/>
        <v>0</v>
      </c>
      <c r="K55" s="13">
        <f t="shared" si="32"/>
        <v>0</v>
      </c>
      <c r="L55" s="13">
        <f t="shared" si="32"/>
        <v>191.7</v>
      </c>
      <c r="M55" s="13">
        <f t="shared" si="32"/>
        <v>0</v>
      </c>
      <c r="N55" s="13">
        <f t="shared" si="32"/>
        <v>41.65288</v>
      </c>
      <c r="O55" s="13">
        <f t="shared" si="32"/>
        <v>0</v>
      </c>
      <c r="P55" s="13">
        <f t="shared" si="32"/>
        <v>16.241</v>
      </c>
    </row>
    <row r="56" ht="40" customHeight="1" spans="1:16">
      <c r="A56" s="10" t="s">
        <v>33</v>
      </c>
      <c r="B56" s="13">
        <f t="shared" ref="B56:P56" si="33">B14+B25</f>
        <v>3260</v>
      </c>
      <c r="C56" s="13"/>
      <c r="D56" s="13">
        <f t="shared" si="33"/>
        <v>2968.69</v>
      </c>
      <c r="E56" s="13">
        <f t="shared" si="33"/>
        <v>291.31</v>
      </c>
      <c r="F56" s="13">
        <f t="shared" si="27"/>
        <v>91.0641104294479</v>
      </c>
      <c r="G56" s="13">
        <f t="shared" si="33"/>
        <v>2968.68875</v>
      </c>
      <c r="H56" s="13">
        <f t="shared" si="33"/>
        <v>2968.68875</v>
      </c>
      <c r="I56" s="13">
        <f t="shared" si="33"/>
        <v>0</v>
      </c>
      <c r="J56" s="13">
        <f t="shared" si="33"/>
        <v>2873</v>
      </c>
      <c r="K56" s="13">
        <f t="shared" si="33"/>
        <v>0</v>
      </c>
      <c r="L56" s="13">
        <f t="shared" si="33"/>
        <v>0</v>
      </c>
      <c r="M56" s="13">
        <f t="shared" si="33"/>
        <v>0</v>
      </c>
      <c r="N56" s="13">
        <f t="shared" si="33"/>
        <v>95.68875</v>
      </c>
      <c r="O56" s="13">
        <f t="shared" si="33"/>
        <v>0</v>
      </c>
      <c r="P56" s="13">
        <f t="shared" si="33"/>
        <v>0</v>
      </c>
    </row>
    <row r="57" ht="40" customHeight="1" spans="1:16">
      <c r="A57" s="10" t="s">
        <v>56</v>
      </c>
      <c r="B57" s="13">
        <f t="shared" ref="B57:P57" si="34">B18</f>
        <v>329</v>
      </c>
      <c r="C57" s="13"/>
      <c r="D57" s="13">
        <f t="shared" si="34"/>
        <v>0</v>
      </c>
      <c r="E57" s="13">
        <f t="shared" si="34"/>
        <v>329</v>
      </c>
      <c r="F57" s="13">
        <f t="shared" si="27"/>
        <v>0</v>
      </c>
      <c r="G57" s="13">
        <f t="shared" si="34"/>
        <v>0</v>
      </c>
      <c r="H57" s="13">
        <f t="shared" si="34"/>
        <v>0</v>
      </c>
      <c r="I57" s="13">
        <f t="shared" si="34"/>
        <v>0</v>
      </c>
      <c r="J57" s="13">
        <f t="shared" si="34"/>
        <v>0</v>
      </c>
      <c r="K57" s="13">
        <f t="shared" si="34"/>
        <v>0</v>
      </c>
      <c r="L57" s="13">
        <f t="shared" si="34"/>
        <v>0</v>
      </c>
      <c r="M57" s="13">
        <f t="shared" si="34"/>
        <v>0</v>
      </c>
      <c r="N57" s="13">
        <f t="shared" si="34"/>
        <v>0</v>
      </c>
      <c r="O57" s="13">
        <f t="shared" si="34"/>
        <v>0</v>
      </c>
      <c r="P57" s="13">
        <f t="shared" si="34"/>
        <v>0</v>
      </c>
    </row>
    <row r="58" ht="40" customHeight="1" spans="1:16">
      <c r="A58" s="10" t="s">
        <v>199</v>
      </c>
      <c r="B58" s="13">
        <f t="shared" ref="B58:P58" si="35">B19</f>
        <v>50</v>
      </c>
      <c r="C58" s="13"/>
      <c r="D58" s="13">
        <f t="shared" si="35"/>
        <v>0</v>
      </c>
      <c r="E58" s="13">
        <f t="shared" si="35"/>
        <v>50</v>
      </c>
      <c r="F58" s="13">
        <f t="shared" si="27"/>
        <v>0</v>
      </c>
      <c r="G58" s="13">
        <f t="shared" si="35"/>
        <v>0</v>
      </c>
      <c r="H58" s="13">
        <f t="shared" si="35"/>
        <v>0</v>
      </c>
      <c r="I58" s="13">
        <f t="shared" si="35"/>
        <v>0</v>
      </c>
      <c r="J58" s="13">
        <f t="shared" si="35"/>
        <v>0</v>
      </c>
      <c r="K58" s="13">
        <f t="shared" si="35"/>
        <v>0</v>
      </c>
      <c r="L58" s="13">
        <f t="shared" si="35"/>
        <v>0</v>
      </c>
      <c r="M58" s="13">
        <f t="shared" si="35"/>
        <v>0</v>
      </c>
      <c r="N58" s="13">
        <f t="shared" si="35"/>
        <v>0</v>
      </c>
      <c r="O58" s="13">
        <f t="shared" si="35"/>
        <v>0</v>
      </c>
      <c r="P58" s="13">
        <f t="shared" si="35"/>
        <v>0</v>
      </c>
    </row>
    <row r="59" ht="40" customHeight="1" spans="1:16">
      <c r="A59" s="10" t="s">
        <v>37</v>
      </c>
      <c r="B59" s="13">
        <f t="shared" ref="B59:P59" si="36">B27+B38+B40</f>
        <v>1400</v>
      </c>
      <c r="C59" s="13"/>
      <c r="D59" s="13">
        <f t="shared" si="36"/>
        <v>779.06</v>
      </c>
      <c r="E59" s="13">
        <f t="shared" si="36"/>
        <v>620.94</v>
      </c>
      <c r="F59" s="13">
        <f t="shared" si="27"/>
        <v>55.6471428571429</v>
      </c>
      <c r="G59" s="13">
        <f t="shared" si="36"/>
        <v>779.06</v>
      </c>
      <c r="H59" s="13">
        <f t="shared" si="36"/>
        <v>779.06</v>
      </c>
      <c r="I59" s="13">
        <f t="shared" si="36"/>
        <v>0</v>
      </c>
      <c r="J59" s="13">
        <f t="shared" si="36"/>
        <v>0</v>
      </c>
      <c r="K59" s="13">
        <f t="shared" si="36"/>
        <v>0</v>
      </c>
      <c r="L59" s="13">
        <f t="shared" si="36"/>
        <v>229.06</v>
      </c>
      <c r="M59" s="13">
        <f t="shared" si="36"/>
        <v>550</v>
      </c>
      <c r="N59" s="13">
        <f t="shared" si="36"/>
        <v>0</v>
      </c>
      <c r="O59" s="13">
        <f t="shared" si="36"/>
        <v>0</v>
      </c>
      <c r="P59" s="13">
        <f t="shared" si="36"/>
        <v>0</v>
      </c>
    </row>
    <row r="60" ht="40" customHeight="1" spans="1:16">
      <c r="A60" s="10" t="s">
        <v>191</v>
      </c>
      <c r="B60" s="13">
        <f t="shared" ref="B60:P60" si="37">B43</f>
        <v>150</v>
      </c>
      <c r="C60" s="13"/>
      <c r="D60" s="13">
        <f t="shared" si="37"/>
        <v>0</v>
      </c>
      <c r="E60" s="13">
        <f t="shared" si="37"/>
        <v>150</v>
      </c>
      <c r="F60" s="13">
        <f t="shared" si="27"/>
        <v>0</v>
      </c>
      <c r="G60" s="13">
        <f t="shared" si="37"/>
        <v>0</v>
      </c>
      <c r="H60" s="13">
        <f t="shared" si="37"/>
        <v>0</v>
      </c>
      <c r="I60" s="13">
        <f t="shared" si="37"/>
        <v>0</v>
      </c>
      <c r="J60" s="13">
        <f t="shared" si="37"/>
        <v>0</v>
      </c>
      <c r="K60" s="13">
        <f t="shared" si="37"/>
        <v>0</v>
      </c>
      <c r="L60" s="13">
        <f t="shared" si="37"/>
        <v>0</v>
      </c>
      <c r="M60" s="13">
        <f t="shared" si="37"/>
        <v>0</v>
      </c>
      <c r="N60" s="13">
        <f t="shared" si="37"/>
        <v>0</v>
      </c>
      <c r="O60" s="13">
        <f t="shared" si="37"/>
        <v>0</v>
      </c>
      <c r="P60" s="13">
        <f t="shared" si="37"/>
        <v>0</v>
      </c>
    </row>
    <row r="61" ht="38" customHeight="1" spans="1:16">
      <c r="A61" s="10" t="s">
        <v>195</v>
      </c>
      <c r="B61" s="13">
        <f t="shared" ref="B61:P61" si="38">B46</f>
        <v>100</v>
      </c>
      <c r="C61" s="13"/>
      <c r="D61" s="13">
        <f t="shared" si="38"/>
        <v>0</v>
      </c>
      <c r="E61" s="13">
        <f t="shared" si="38"/>
        <v>100</v>
      </c>
      <c r="F61" s="13">
        <f t="shared" si="27"/>
        <v>0</v>
      </c>
      <c r="G61" s="13">
        <f t="shared" si="38"/>
        <v>0</v>
      </c>
      <c r="H61" s="13">
        <f t="shared" si="38"/>
        <v>0</v>
      </c>
      <c r="I61" s="13">
        <f t="shared" si="38"/>
        <v>0</v>
      </c>
      <c r="J61" s="13">
        <f t="shared" si="38"/>
        <v>0</v>
      </c>
      <c r="K61" s="13">
        <f t="shared" si="38"/>
        <v>0</v>
      </c>
      <c r="L61" s="13">
        <f t="shared" si="38"/>
        <v>0</v>
      </c>
      <c r="M61" s="13">
        <f t="shared" si="38"/>
        <v>0</v>
      </c>
      <c r="N61" s="13">
        <f t="shared" si="38"/>
        <v>0</v>
      </c>
      <c r="O61" s="13">
        <f t="shared" si="38"/>
        <v>0</v>
      </c>
      <c r="P61" s="13">
        <f t="shared" si="38"/>
        <v>0</v>
      </c>
    </row>
    <row r="62" ht="38" customHeight="1" spans="1:16">
      <c r="A62" s="10" t="s">
        <v>35</v>
      </c>
      <c r="B62" s="13">
        <f t="shared" ref="B62:P62" si="39">B32</f>
        <v>1000</v>
      </c>
      <c r="C62" s="13"/>
      <c r="D62" s="13">
        <f t="shared" si="39"/>
        <v>0</v>
      </c>
      <c r="E62" s="13">
        <f t="shared" si="39"/>
        <v>1000</v>
      </c>
      <c r="F62" s="13">
        <f t="shared" si="27"/>
        <v>0</v>
      </c>
      <c r="G62" s="13">
        <f t="shared" si="39"/>
        <v>0</v>
      </c>
      <c r="H62" s="13">
        <f t="shared" si="39"/>
        <v>0</v>
      </c>
      <c r="I62" s="13">
        <f t="shared" si="39"/>
        <v>0</v>
      </c>
      <c r="J62" s="13">
        <f t="shared" si="39"/>
        <v>0</v>
      </c>
      <c r="K62" s="13">
        <f t="shared" si="39"/>
        <v>0</v>
      </c>
      <c r="L62" s="13">
        <f t="shared" si="39"/>
        <v>0</v>
      </c>
      <c r="M62" s="13">
        <f t="shared" si="39"/>
        <v>0</v>
      </c>
      <c r="N62" s="13">
        <f t="shared" si="39"/>
        <v>0</v>
      </c>
      <c r="O62" s="13">
        <f t="shared" si="39"/>
        <v>0</v>
      </c>
      <c r="P62" s="13">
        <f t="shared" si="39"/>
        <v>0</v>
      </c>
    </row>
    <row r="63" ht="38" customHeight="1" spans="1:16">
      <c r="A63" s="10" t="s">
        <v>197</v>
      </c>
      <c r="B63" s="13">
        <f t="shared" ref="B63:P63" si="40">B47</f>
        <v>160</v>
      </c>
      <c r="C63" s="13"/>
      <c r="D63" s="13">
        <f t="shared" si="40"/>
        <v>80</v>
      </c>
      <c r="E63" s="13">
        <f t="shared" si="40"/>
        <v>80</v>
      </c>
      <c r="F63" s="13">
        <f t="shared" si="27"/>
        <v>50</v>
      </c>
      <c r="G63" s="13">
        <f t="shared" si="40"/>
        <v>80</v>
      </c>
      <c r="H63" s="13">
        <f t="shared" si="40"/>
        <v>0</v>
      </c>
      <c r="I63" s="13">
        <f t="shared" si="40"/>
        <v>0</v>
      </c>
      <c r="J63" s="13">
        <f t="shared" si="40"/>
        <v>0</v>
      </c>
      <c r="K63" s="13">
        <f t="shared" si="40"/>
        <v>0</v>
      </c>
      <c r="L63" s="13">
        <f t="shared" si="40"/>
        <v>0</v>
      </c>
      <c r="M63" s="13">
        <f t="shared" si="40"/>
        <v>0</v>
      </c>
      <c r="N63" s="13">
        <f t="shared" si="40"/>
        <v>0</v>
      </c>
      <c r="O63" s="13">
        <f t="shared" si="40"/>
        <v>0</v>
      </c>
      <c r="P63" s="13">
        <f t="shared" si="40"/>
        <v>80</v>
      </c>
    </row>
  </sheetData>
  <mergeCells count="15">
    <mergeCell ref="A1:P1"/>
    <mergeCell ref="C2:K2"/>
    <mergeCell ref="O2:P2"/>
    <mergeCell ref="G3:P3"/>
    <mergeCell ref="H4:N4"/>
    <mergeCell ref="A49:P49"/>
    <mergeCell ref="A3:A5"/>
    <mergeCell ref="B3:B5"/>
    <mergeCell ref="C3:C5"/>
    <mergeCell ref="D3:D5"/>
    <mergeCell ref="E3:E5"/>
    <mergeCell ref="F3:F5"/>
    <mergeCell ref="G4:G5"/>
    <mergeCell ref="O4:O5"/>
    <mergeCell ref="P4:P5"/>
  </mergeCells>
  <pageMargins left="0.609027777777778" right="0.354166666666667" top="0.393055555555556" bottom="0.196527777777778" header="0.511805555555556" footer="0.511805555555556"/>
  <pageSetup paperSize="9" scale="52" fitToHeight="0" orientation="landscape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showZeros="0" zoomScale="72" zoomScaleNormal="72" workbookViewId="0">
      <pane xSplit="1" ySplit="5" topLeftCell="B6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34.8916666666667" customWidth="1"/>
    <col min="2" max="2" width="13.1833333333333" customWidth="1"/>
    <col min="3" max="3" width="35.5916666666667" customWidth="1"/>
    <col min="4" max="4" width="13.1916666666667" customWidth="1"/>
    <col min="5" max="5" width="12.0833333333333" customWidth="1"/>
    <col min="6" max="6" width="10.75" customWidth="1"/>
    <col min="7" max="7" width="13.025" customWidth="1"/>
    <col min="8" max="8" width="13.1916666666667" customWidth="1"/>
    <col min="9" max="9" width="12.25" customWidth="1"/>
    <col min="10" max="10" width="12.9166666666667" customWidth="1"/>
    <col min="11" max="11" width="13.1666666666667" customWidth="1"/>
    <col min="12" max="12" width="10.5916666666667" customWidth="1"/>
    <col min="13" max="13" width="11.25" customWidth="1"/>
    <col min="14" max="14" width="12.5" customWidth="1"/>
    <col min="15" max="15" width="12.15" customWidth="1"/>
    <col min="16" max="16" width="10.75" customWidth="1"/>
  </cols>
  <sheetData>
    <row r="1" ht="38" customHeight="1" spans="1:16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8" customHeight="1" spans="1:16">
      <c r="A2" s="2" t="s">
        <v>118</v>
      </c>
      <c r="B2" s="3"/>
      <c r="C2" s="4" t="s">
        <v>204</v>
      </c>
      <c r="D2" s="4"/>
      <c r="E2" s="4"/>
      <c r="F2" s="4"/>
      <c r="G2" s="4"/>
      <c r="H2" s="4"/>
      <c r="I2" s="4"/>
      <c r="J2" s="4"/>
      <c r="K2" s="4"/>
      <c r="L2" s="16"/>
      <c r="M2" s="16"/>
      <c r="N2" s="16"/>
      <c r="O2" s="17" t="s">
        <v>3</v>
      </c>
      <c r="P2" s="17"/>
    </row>
    <row r="3" ht="23" customHeight="1" spans="1:16">
      <c r="A3" s="174" t="s">
        <v>134</v>
      </c>
      <c r="B3" s="174" t="s">
        <v>135</v>
      </c>
      <c r="C3" s="174" t="s">
        <v>62</v>
      </c>
      <c r="D3" s="175" t="s">
        <v>136</v>
      </c>
      <c r="E3" s="175" t="s">
        <v>137</v>
      </c>
      <c r="F3" s="175" t="s">
        <v>7</v>
      </c>
      <c r="G3" s="174" t="s">
        <v>65</v>
      </c>
      <c r="H3" s="174"/>
      <c r="I3" s="174"/>
      <c r="J3" s="174"/>
      <c r="K3" s="174"/>
      <c r="L3" s="174"/>
      <c r="M3" s="174"/>
      <c r="N3" s="174"/>
      <c r="O3" s="174"/>
      <c r="P3" s="174"/>
    </row>
    <row r="4" ht="23" customHeight="1" spans="1:16">
      <c r="A4" s="174"/>
      <c r="B4" s="174"/>
      <c r="C4" s="174"/>
      <c r="D4" s="175"/>
      <c r="E4" s="175"/>
      <c r="F4" s="175"/>
      <c r="G4" s="174" t="s">
        <v>138</v>
      </c>
      <c r="H4" s="174" t="s">
        <v>139</v>
      </c>
      <c r="I4" s="174"/>
      <c r="J4" s="174"/>
      <c r="K4" s="174"/>
      <c r="L4" s="174"/>
      <c r="M4" s="174"/>
      <c r="N4" s="174"/>
      <c r="O4" s="181" t="s">
        <v>140</v>
      </c>
      <c r="P4" s="174" t="s">
        <v>141</v>
      </c>
    </row>
    <row r="5" ht="23" customHeight="1" spans="1:16">
      <c r="A5" s="174"/>
      <c r="B5" s="174"/>
      <c r="C5" s="174"/>
      <c r="D5" s="175"/>
      <c r="E5" s="175"/>
      <c r="F5" s="175"/>
      <c r="G5" s="174"/>
      <c r="H5" s="174" t="s">
        <v>66</v>
      </c>
      <c r="I5" s="174" t="s">
        <v>142</v>
      </c>
      <c r="J5" s="174" t="s">
        <v>143</v>
      </c>
      <c r="K5" s="174" t="s">
        <v>144</v>
      </c>
      <c r="L5" s="175" t="s">
        <v>69</v>
      </c>
      <c r="M5" s="175" t="s">
        <v>145</v>
      </c>
      <c r="N5" s="174" t="s">
        <v>131</v>
      </c>
      <c r="O5" s="181"/>
      <c r="P5" s="174"/>
    </row>
    <row r="6" ht="42" customHeight="1" spans="1:16">
      <c r="A6" s="203" t="s">
        <v>93</v>
      </c>
      <c r="B6" s="204">
        <f t="shared" ref="B6:G6" si="0">B7+B20+B24+B30</f>
        <v>22351.5</v>
      </c>
      <c r="C6" s="204">
        <f t="shared" si="0"/>
        <v>0</v>
      </c>
      <c r="D6" s="179">
        <f t="shared" si="0"/>
        <v>16593.53</v>
      </c>
      <c r="E6" s="179">
        <f t="shared" si="0"/>
        <v>5757.97</v>
      </c>
      <c r="F6" s="178">
        <f t="shared" ref="F6:F48" si="1">D6/B6*100</f>
        <v>74.2389996197123</v>
      </c>
      <c r="G6" s="179">
        <f t="shared" si="0"/>
        <v>16593.53388</v>
      </c>
      <c r="H6" s="179">
        <f t="shared" ref="H6:H47" si="2">SUM(I6:N6)</f>
        <v>14484.13288</v>
      </c>
      <c r="I6" s="179">
        <f t="shared" ref="I6:P6" si="3">SUM(I7,I20,I24,I30)</f>
        <v>4630.9</v>
      </c>
      <c r="J6" s="179">
        <f t="shared" si="3"/>
        <v>6503</v>
      </c>
      <c r="K6" s="179">
        <f t="shared" si="3"/>
        <v>1838.5</v>
      </c>
      <c r="L6" s="179">
        <f t="shared" si="3"/>
        <v>191.7</v>
      </c>
      <c r="M6" s="179">
        <f t="shared" si="3"/>
        <v>520</v>
      </c>
      <c r="N6" s="179">
        <f t="shared" si="3"/>
        <v>800.03288</v>
      </c>
      <c r="O6" s="179">
        <f t="shared" si="3"/>
        <v>2093.16</v>
      </c>
      <c r="P6" s="179">
        <f t="shared" si="3"/>
        <v>16.241</v>
      </c>
    </row>
    <row r="7" ht="42" customHeight="1" spans="1:16">
      <c r="A7" s="185" t="s">
        <v>180</v>
      </c>
      <c r="B7" s="186">
        <f>B8+B15+B18+B19</f>
        <v>12239</v>
      </c>
      <c r="C7" s="186"/>
      <c r="D7" s="186">
        <f>D8+D15+D18+D19</f>
        <v>8960.87</v>
      </c>
      <c r="E7" s="186">
        <f>E8+E15+E18+E19</f>
        <v>3278.13</v>
      </c>
      <c r="F7" s="13">
        <f t="shared" si="1"/>
        <v>73.2157038973772</v>
      </c>
      <c r="G7" s="14">
        <f>SUM(G8,G15,G18,G19)</f>
        <v>8960.87388</v>
      </c>
      <c r="H7" s="14">
        <f t="shared" si="2"/>
        <v>8776.63288</v>
      </c>
      <c r="I7" s="14">
        <f t="shared" ref="I7:N7" si="4">SUM(I8,I18,I19)</f>
        <v>4615.9</v>
      </c>
      <c r="J7" s="14">
        <f t="shared" si="4"/>
        <v>2669</v>
      </c>
      <c r="K7" s="14">
        <v>500</v>
      </c>
      <c r="L7" s="14">
        <f t="shared" si="4"/>
        <v>191.7</v>
      </c>
      <c r="M7" s="14">
        <f t="shared" si="4"/>
        <v>0</v>
      </c>
      <c r="N7" s="14">
        <f t="shared" si="4"/>
        <v>800.03288</v>
      </c>
      <c r="O7" s="14">
        <f>O8+O19+O18</f>
        <v>168</v>
      </c>
      <c r="P7" s="14">
        <f>SUM(P8,P18,P19)</f>
        <v>16.241</v>
      </c>
    </row>
    <row r="8" ht="42" customHeight="1" spans="1:16">
      <c r="A8" s="180" t="s">
        <v>181</v>
      </c>
      <c r="B8" s="186">
        <f t="shared" ref="B8:G8" si="5">SUM(B9:B14)</f>
        <v>11036</v>
      </c>
      <c r="C8" s="187"/>
      <c r="D8" s="14">
        <f t="shared" si="5"/>
        <v>8460.87</v>
      </c>
      <c r="E8" s="14">
        <f t="shared" si="5"/>
        <v>2575.13</v>
      </c>
      <c r="F8" s="13">
        <f t="shared" si="1"/>
        <v>76.6660927872418</v>
      </c>
      <c r="G8" s="14">
        <f t="shared" si="5"/>
        <v>8460.87388</v>
      </c>
      <c r="H8" s="14">
        <f t="shared" si="2"/>
        <v>8276.63288</v>
      </c>
      <c r="I8" s="14">
        <f t="shared" ref="I8:P8" si="6">SUM(I9:I14)</f>
        <v>4615.9</v>
      </c>
      <c r="J8" s="14">
        <f t="shared" si="6"/>
        <v>2669</v>
      </c>
      <c r="K8" s="14">
        <f t="shared" si="6"/>
        <v>0</v>
      </c>
      <c r="L8" s="14">
        <f t="shared" si="6"/>
        <v>191.7</v>
      </c>
      <c r="M8" s="14">
        <f t="shared" si="6"/>
        <v>0</v>
      </c>
      <c r="N8" s="14">
        <f t="shared" si="6"/>
        <v>800.03288</v>
      </c>
      <c r="O8" s="14">
        <f t="shared" si="6"/>
        <v>168</v>
      </c>
      <c r="P8" s="14">
        <f t="shared" si="6"/>
        <v>16.241</v>
      </c>
    </row>
    <row r="9" ht="42" customHeight="1" spans="1:16">
      <c r="A9" s="10" t="s">
        <v>148</v>
      </c>
      <c r="B9" s="11">
        <v>168</v>
      </c>
      <c r="C9" s="15" t="s">
        <v>149</v>
      </c>
      <c r="D9" s="13">
        <v>168</v>
      </c>
      <c r="E9" s="13">
        <f t="shared" ref="E9:E23" si="7">B9-D9</f>
        <v>0</v>
      </c>
      <c r="F9" s="13">
        <f t="shared" si="1"/>
        <v>100</v>
      </c>
      <c r="G9" s="13">
        <f t="shared" ref="G9:G23" si="8">SUM(I9:P9)</f>
        <v>168</v>
      </c>
      <c r="H9" s="14">
        <f t="shared" si="2"/>
        <v>0</v>
      </c>
      <c r="I9" s="13"/>
      <c r="J9" s="13"/>
      <c r="K9" s="13"/>
      <c r="L9" s="196"/>
      <c r="M9" s="196"/>
      <c r="N9" s="196"/>
      <c r="O9" s="13">
        <v>168</v>
      </c>
      <c r="P9" s="13"/>
    </row>
    <row r="10" ht="42" customHeight="1" spans="1:16">
      <c r="A10" s="10" t="s">
        <v>150</v>
      </c>
      <c r="B10" s="11">
        <v>4631</v>
      </c>
      <c r="C10" s="39" t="s">
        <v>151</v>
      </c>
      <c r="D10" s="13">
        <v>4615.9</v>
      </c>
      <c r="E10" s="13">
        <f t="shared" si="7"/>
        <v>15.1000000000004</v>
      </c>
      <c r="F10" s="13">
        <f t="shared" si="1"/>
        <v>99.6739365147916</v>
      </c>
      <c r="G10" s="13">
        <f t="shared" si="8"/>
        <v>4615.9</v>
      </c>
      <c r="H10" s="14">
        <f t="shared" si="2"/>
        <v>4615.9</v>
      </c>
      <c r="I10" s="13">
        <v>4615.9</v>
      </c>
      <c r="J10" s="13"/>
      <c r="K10" s="13"/>
      <c r="L10" s="13"/>
      <c r="M10" s="13"/>
      <c r="N10" s="13"/>
      <c r="O10" s="13"/>
      <c r="P10" s="13"/>
    </row>
    <row r="11" ht="42" customHeight="1" spans="1:16">
      <c r="A11" s="10" t="s">
        <v>152</v>
      </c>
      <c r="B11" s="11">
        <v>2058</v>
      </c>
      <c r="C11" s="15" t="s">
        <v>153</v>
      </c>
      <c r="D11" s="13"/>
      <c r="E11" s="13">
        <f t="shared" si="7"/>
        <v>2058</v>
      </c>
      <c r="F11" s="13">
        <f t="shared" si="1"/>
        <v>0</v>
      </c>
      <c r="G11" s="13">
        <f t="shared" si="8"/>
        <v>0</v>
      </c>
      <c r="H11" s="14">
        <f t="shared" si="2"/>
        <v>0</v>
      </c>
      <c r="I11" s="13"/>
      <c r="J11" s="13"/>
      <c r="K11" s="13"/>
      <c r="L11" s="13"/>
      <c r="M11" s="13"/>
      <c r="N11" s="13"/>
      <c r="O11" s="13"/>
      <c r="P11" s="13"/>
    </row>
    <row r="12" ht="42" customHeight="1" spans="1:16">
      <c r="A12" s="10" t="s">
        <v>154</v>
      </c>
      <c r="B12" s="11">
        <v>567</v>
      </c>
      <c r="C12" s="15" t="s">
        <v>155</v>
      </c>
      <c r="D12" s="13">
        <v>567</v>
      </c>
      <c r="E12" s="13">
        <f t="shared" si="7"/>
        <v>0</v>
      </c>
      <c r="F12" s="13">
        <f t="shared" si="1"/>
        <v>100</v>
      </c>
      <c r="G12" s="13">
        <f t="shared" si="8"/>
        <v>567</v>
      </c>
      <c r="H12" s="14">
        <f t="shared" si="2"/>
        <v>567</v>
      </c>
      <c r="I12" s="196"/>
      <c r="J12" s="13"/>
      <c r="K12" s="13"/>
      <c r="L12" s="13"/>
      <c r="M12" s="13"/>
      <c r="N12" s="13">
        <v>567</v>
      </c>
      <c r="O12" s="13"/>
      <c r="P12" s="13"/>
    </row>
    <row r="13" ht="42" customHeight="1" spans="1:16">
      <c r="A13" s="10" t="s">
        <v>36</v>
      </c>
      <c r="B13" s="11">
        <f>176+380</f>
        <v>556</v>
      </c>
      <c r="C13" s="39" t="s">
        <v>156</v>
      </c>
      <c r="D13" s="13">
        <v>249.59</v>
      </c>
      <c r="E13" s="13">
        <f t="shared" si="7"/>
        <v>306.41</v>
      </c>
      <c r="F13" s="13">
        <f t="shared" si="1"/>
        <v>44.8902877697842</v>
      </c>
      <c r="G13" s="13">
        <f t="shared" si="8"/>
        <v>249.59388</v>
      </c>
      <c r="H13" s="14">
        <f t="shared" si="2"/>
        <v>233.35288</v>
      </c>
      <c r="I13" s="13"/>
      <c r="J13" s="13"/>
      <c r="K13" s="13"/>
      <c r="L13" s="13">
        <v>191.7</v>
      </c>
      <c r="M13" s="13"/>
      <c r="N13" s="13">
        <v>41.65288</v>
      </c>
      <c r="O13" s="13"/>
      <c r="P13" s="13">
        <v>16.241</v>
      </c>
    </row>
    <row r="14" ht="42" customHeight="1" spans="1:16">
      <c r="A14" s="10" t="s">
        <v>33</v>
      </c>
      <c r="B14" s="11">
        <f>387+2669</f>
        <v>3056</v>
      </c>
      <c r="C14" s="15" t="s">
        <v>157</v>
      </c>
      <c r="D14" s="13">
        <v>2860.38</v>
      </c>
      <c r="E14" s="13">
        <f t="shared" si="7"/>
        <v>195.62</v>
      </c>
      <c r="F14" s="13">
        <f t="shared" si="1"/>
        <v>93.5988219895288</v>
      </c>
      <c r="G14" s="13">
        <f t="shared" si="8"/>
        <v>2860.38</v>
      </c>
      <c r="H14" s="14">
        <f t="shared" si="2"/>
        <v>2860.38</v>
      </c>
      <c r="I14" s="13"/>
      <c r="J14" s="13">
        <v>2669</v>
      </c>
      <c r="K14" s="13"/>
      <c r="L14" s="13"/>
      <c r="M14" s="13"/>
      <c r="N14" s="13">
        <v>191.38</v>
      </c>
      <c r="O14" s="13"/>
      <c r="P14" s="13"/>
    </row>
    <row r="15" ht="42" customHeight="1" spans="1:16">
      <c r="A15" s="180" t="s">
        <v>182</v>
      </c>
      <c r="B15" s="11">
        <f>B16+B17</f>
        <v>824</v>
      </c>
      <c r="C15" s="15"/>
      <c r="D15" s="13">
        <v>500</v>
      </c>
      <c r="E15" s="13">
        <f t="shared" si="7"/>
        <v>324</v>
      </c>
      <c r="F15" s="13">
        <f t="shared" si="1"/>
        <v>60.6796116504854</v>
      </c>
      <c r="G15" s="13">
        <f t="shared" si="8"/>
        <v>500</v>
      </c>
      <c r="H15" s="14">
        <f t="shared" si="2"/>
        <v>500</v>
      </c>
      <c r="I15" s="13"/>
      <c r="J15" s="13"/>
      <c r="K15" s="13">
        <v>500</v>
      </c>
      <c r="L15" s="13"/>
      <c r="M15" s="13"/>
      <c r="N15" s="13"/>
      <c r="O15" s="13"/>
      <c r="P15" s="13"/>
    </row>
    <row r="16" ht="42" customHeight="1" spans="1:16">
      <c r="A16" s="10" t="s">
        <v>150</v>
      </c>
      <c r="B16" s="11">
        <v>500</v>
      </c>
      <c r="C16" s="15" t="s">
        <v>164</v>
      </c>
      <c r="D16" s="13">
        <v>500</v>
      </c>
      <c r="E16" s="13">
        <f t="shared" si="7"/>
        <v>0</v>
      </c>
      <c r="F16" s="13">
        <f t="shared" si="1"/>
        <v>100</v>
      </c>
      <c r="G16" s="13">
        <f t="shared" si="8"/>
        <v>500</v>
      </c>
      <c r="H16" s="14">
        <f t="shared" si="2"/>
        <v>500</v>
      </c>
      <c r="I16" s="13"/>
      <c r="J16" s="13"/>
      <c r="K16" s="13">
        <v>500</v>
      </c>
      <c r="L16" s="13"/>
      <c r="M16" s="13"/>
      <c r="N16" s="13"/>
      <c r="O16" s="13"/>
      <c r="P16" s="13"/>
    </row>
    <row r="17" ht="42" customHeight="1" spans="1:16">
      <c r="A17" s="10" t="s">
        <v>152</v>
      </c>
      <c r="B17" s="11">
        <v>324</v>
      </c>
      <c r="C17" s="15" t="s">
        <v>155</v>
      </c>
      <c r="D17" s="13"/>
      <c r="E17" s="13">
        <f t="shared" si="7"/>
        <v>324</v>
      </c>
      <c r="F17" s="13">
        <f t="shared" si="1"/>
        <v>0</v>
      </c>
      <c r="G17" s="13">
        <f t="shared" si="8"/>
        <v>0</v>
      </c>
      <c r="H17" s="14">
        <f t="shared" si="2"/>
        <v>0</v>
      </c>
      <c r="I17" s="13"/>
      <c r="J17" s="13"/>
      <c r="K17" s="13"/>
      <c r="L17" s="13"/>
      <c r="M17" s="13"/>
      <c r="N17" s="13"/>
      <c r="O17" s="13"/>
      <c r="P17" s="13"/>
    </row>
    <row r="18" ht="42" customHeight="1" spans="1:16">
      <c r="A18" s="180" t="s">
        <v>183</v>
      </c>
      <c r="B18" s="11">
        <v>329</v>
      </c>
      <c r="C18" s="15" t="s">
        <v>159</v>
      </c>
      <c r="D18" s="13">
        <v>0</v>
      </c>
      <c r="E18" s="13">
        <f t="shared" si="7"/>
        <v>329</v>
      </c>
      <c r="F18" s="13">
        <f t="shared" si="1"/>
        <v>0</v>
      </c>
      <c r="G18" s="13">
        <f t="shared" si="8"/>
        <v>0</v>
      </c>
      <c r="H18" s="14">
        <f t="shared" si="2"/>
        <v>0</v>
      </c>
      <c r="I18" s="13">
        <v>0</v>
      </c>
      <c r="J18" s="13"/>
      <c r="K18" s="13"/>
      <c r="L18" s="13"/>
      <c r="M18" s="13"/>
      <c r="N18" s="13"/>
      <c r="O18" s="13"/>
      <c r="P18" s="13"/>
    </row>
    <row r="19" ht="42" customHeight="1" spans="1:16">
      <c r="A19" s="180" t="s">
        <v>184</v>
      </c>
      <c r="B19" s="11">
        <v>50</v>
      </c>
      <c r="C19" s="15" t="s">
        <v>161</v>
      </c>
      <c r="D19" s="13">
        <v>0</v>
      </c>
      <c r="E19" s="13">
        <f t="shared" si="7"/>
        <v>50</v>
      </c>
      <c r="F19" s="13">
        <f t="shared" si="1"/>
        <v>0</v>
      </c>
      <c r="G19" s="13">
        <f t="shared" si="8"/>
        <v>0</v>
      </c>
      <c r="H19" s="14">
        <f t="shared" si="2"/>
        <v>0</v>
      </c>
      <c r="I19" s="13"/>
      <c r="J19" s="13"/>
      <c r="K19" s="13"/>
      <c r="L19" s="13"/>
      <c r="M19" s="13"/>
      <c r="N19" s="13"/>
      <c r="O19" s="13"/>
      <c r="P19" s="13">
        <v>0</v>
      </c>
    </row>
    <row r="20" ht="42" customHeight="1" spans="1:16">
      <c r="A20" s="185" t="s">
        <v>185</v>
      </c>
      <c r="B20" s="11">
        <f>B21+B22+B23</f>
        <v>4255</v>
      </c>
      <c r="C20" s="15"/>
      <c r="D20" s="13">
        <f>D21+D22+D23</f>
        <v>3279.53</v>
      </c>
      <c r="E20" s="13">
        <f t="shared" si="7"/>
        <v>975.47</v>
      </c>
      <c r="F20" s="13">
        <f t="shared" si="1"/>
        <v>77.0747356051704</v>
      </c>
      <c r="G20" s="13">
        <f t="shared" si="8"/>
        <v>3279.53</v>
      </c>
      <c r="H20" s="14">
        <f t="shared" si="2"/>
        <v>2855</v>
      </c>
      <c r="I20" s="13">
        <f t="shared" ref="I20:P20" si="9">I21+I22+I23</f>
        <v>0</v>
      </c>
      <c r="J20" s="13">
        <f t="shared" si="9"/>
        <v>2855</v>
      </c>
      <c r="K20" s="13">
        <f t="shared" si="9"/>
        <v>0</v>
      </c>
      <c r="L20" s="13">
        <f t="shared" si="9"/>
        <v>0</v>
      </c>
      <c r="M20" s="13">
        <f t="shared" si="9"/>
        <v>0</v>
      </c>
      <c r="N20" s="13">
        <f t="shared" si="9"/>
        <v>0</v>
      </c>
      <c r="O20" s="13">
        <f t="shared" si="9"/>
        <v>424.53</v>
      </c>
      <c r="P20" s="13">
        <f t="shared" si="9"/>
        <v>0</v>
      </c>
    </row>
    <row r="21" ht="42" customHeight="1" spans="1:16">
      <c r="A21" s="10" t="s">
        <v>148</v>
      </c>
      <c r="B21" s="11">
        <v>1329</v>
      </c>
      <c r="C21" s="15" t="s">
        <v>174</v>
      </c>
      <c r="D21" s="13">
        <v>424.53</v>
      </c>
      <c r="E21" s="13">
        <f t="shared" si="7"/>
        <v>904.47</v>
      </c>
      <c r="F21" s="13">
        <f t="shared" si="1"/>
        <v>31.9435665914221</v>
      </c>
      <c r="G21" s="13">
        <f t="shared" si="8"/>
        <v>424.53</v>
      </c>
      <c r="H21" s="14">
        <f t="shared" si="2"/>
        <v>0</v>
      </c>
      <c r="I21" s="13"/>
      <c r="J21" s="13"/>
      <c r="K21" s="13"/>
      <c r="L21" s="13"/>
      <c r="M21" s="13"/>
      <c r="N21" s="13"/>
      <c r="O21" s="13">
        <v>424.53</v>
      </c>
      <c r="P21" s="13"/>
    </row>
    <row r="22" ht="42" customHeight="1" spans="1:16">
      <c r="A22" s="10" t="s">
        <v>150</v>
      </c>
      <c r="B22" s="11">
        <v>2855</v>
      </c>
      <c r="C22" s="15" t="s">
        <v>175</v>
      </c>
      <c r="D22" s="13">
        <v>2855</v>
      </c>
      <c r="E22" s="13">
        <f t="shared" si="7"/>
        <v>0</v>
      </c>
      <c r="F22" s="13">
        <f t="shared" si="1"/>
        <v>100</v>
      </c>
      <c r="G22" s="13">
        <f t="shared" si="8"/>
        <v>2855</v>
      </c>
      <c r="H22" s="14">
        <f t="shared" si="2"/>
        <v>2855</v>
      </c>
      <c r="I22" s="13"/>
      <c r="J22" s="13">
        <v>2855</v>
      </c>
      <c r="K22" s="13"/>
      <c r="L22" s="13"/>
      <c r="M22" s="13"/>
      <c r="N22" s="13"/>
      <c r="O22" s="13"/>
      <c r="P22" s="13"/>
    </row>
    <row r="23" ht="42" customHeight="1" spans="1:16">
      <c r="A23" s="10" t="s">
        <v>152</v>
      </c>
      <c r="B23" s="11">
        <v>71</v>
      </c>
      <c r="C23" s="15" t="s">
        <v>155</v>
      </c>
      <c r="D23" s="13"/>
      <c r="E23" s="13">
        <f t="shared" si="7"/>
        <v>71</v>
      </c>
      <c r="F23" s="13">
        <f t="shared" si="1"/>
        <v>0</v>
      </c>
      <c r="G23" s="13">
        <f t="shared" si="8"/>
        <v>0</v>
      </c>
      <c r="H23" s="14">
        <f t="shared" si="2"/>
        <v>0</v>
      </c>
      <c r="I23" s="13"/>
      <c r="J23" s="13"/>
      <c r="K23" s="13"/>
      <c r="L23" s="13"/>
      <c r="M23" s="13"/>
      <c r="N23" s="13"/>
      <c r="O23" s="13"/>
      <c r="P23" s="13"/>
    </row>
    <row r="24" ht="42" customHeight="1" spans="1:16">
      <c r="A24" s="188" t="s">
        <v>186</v>
      </c>
      <c r="B24" s="11">
        <f t="shared" ref="B24:G24" si="10">SUM(B25:B29)</f>
        <v>2857.5</v>
      </c>
      <c r="C24" s="189"/>
      <c r="D24" s="13">
        <f t="shared" si="10"/>
        <v>2837.5</v>
      </c>
      <c r="E24" s="13">
        <f t="shared" si="10"/>
        <v>20</v>
      </c>
      <c r="F24" s="13">
        <f t="shared" si="1"/>
        <v>99.3000874890639</v>
      </c>
      <c r="G24" s="13">
        <f t="shared" si="10"/>
        <v>2837.5</v>
      </c>
      <c r="H24" s="14">
        <f t="shared" si="2"/>
        <v>2837.5</v>
      </c>
      <c r="I24" s="13">
        <f t="shared" ref="I24:P24" si="11">SUM(I25:I29)</f>
        <v>0</v>
      </c>
      <c r="J24" s="13">
        <f t="shared" si="11"/>
        <v>979</v>
      </c>
      <c r="K24" s="13">
        <f t="shared" si="11"/>
        <v>1338.5</v>
      </c>
      <c r="L24" s="13">
        <f t="shared" si="11"/>
        <v>0</v>
      </c>
      <c r="M24" s="13">
        <f t="shared" si="11"/>
        <v>520</v>
      </c>
      <c r="N24" s="13">
        <f t="shared" si="11"/>
        <v>0</v>
      </c>
      <c r="O24" s="13">
        <f t="shared" si="11"/>
        <v>0</v>
      </c>
      <c r="P24" s="13">
        <f t="shared" si="11"/>
        <v>0</v>
      </c>
    </row>
    <row r="25" ht="42" customHeight="1" spans="1:16">
      <c r="A25" s="10" t="s">
        <v>33</v>
      </c>
      <c r="B25" s="11">
        <v>204</v>
      </c>
      <c r="C25" s="15" t="s">
        <v>143</v>
      </c>
      <c r="D25" s="13">
        <v>204</v>
      </c>
      <c r="E25" s="13">
        <f t="shared" ref="E25:E29" si="12">B25-D25</f>
        <v>0</v>
      </c>
      <c r="F25" s="13">
        <f t="shared" si="1"/>
        <v>100</v>
      </c>
      <c r="G25" s="14">
        <f t="shared" ref="G25:G29" si="13">H25+O25+P25</f>
        <v>204</v>
      </c>
      <c r="H25" s="14">
        <f t="shared" si="2"/>
        <v>204</v>
      </c>
      <c r="I25" s="13"/>
      <c r="J25" s="13">
        <v>204</v>
      </c>
      <c r="K25" s="13"/>
      <c r="L25" s="13"/>
      <c r="M25" s="13"/>
      <c r="N25" s="13"/>
      <c r="O25" s="13"/>
      <c r="P25" s="13"/>
    </row>
    <row r="26" ht="42" customHeight="1" spans="1:16">
      <c r="A26" s="10" t="s">
        <v>150</v>
      </c>
      <c r="B26" s="11">
        <v>775</v>
      </c>
      <c r="C26" s="15" t="s">
        <v>143</v>
      </c>
      <c r="D26" s="13">
        <v>775</v>
      </c>
      <c r="E26" s="13">
        <f t="shared" si="12"/>
        <v>0</v>
      </c>
      <c r="F26" s="13">
        <f t="shared" si="1"/>
        <v>100</v>
      </c>
      <c r="G26" s="14">
        <f t="shared" si="13"/>
        <v>775</v>
      </c>
      <c r="H26" s="14">
        <f t="shared" si="2"/>
        <v>775</v>
      </c>
      <c r="I26" s="13"/>
      <c r="J26" s="13">
        <v>775</v>
      </c>
      <c r="K26" s="13"/>
      <c r="L26" s="13"/>
      <c r="M26" s="13"/>
      <c r="N26" s="13"/>
      <c r="O26" s="13"/>
      <c r="P26" s="13"/>
    </row>
    <row r="27" ht="42" customHeight="1" spans="1:16">
      <c r="A27" s="10" t="s">
        <v>37</v>
      </c>
      <c r="B27" s="11">
        <v>520</v>
      </c>
      <c r="C27" s="15" t="s">
        <v>163</v>
      </c>
      <c r="D27" s="13">
        <v>520</v>
      </c>
      <c r="E27" s="13">
        <f t="shared" si="12"/>
        <v>0</v>
      </c>
      <c r="F27" s="13">
        <f t="shared" si="1"/>
        <v>100</v>
      </c>
      <c r="G27" s="14">
        <f t="shared" si="13"/>
        <v>520</v>
      </c>
      <c r="H27" s="14">
        <f t="shared" si="2"/>
        <v>520</v>
      </c>
      <c r="I27" s="13"/>
      <c r="J27" s="13"/>
      <c r="K27" s="13"/>
      <c r="L27" s="13"/>
      <c r="M27" s="13">
        <v>520</v>
      </c>
      <c r="N27" s="13"/>
      <c r="O27" s="13"/>
      <c r="P27" s="13"/>
    </row>
    <row r="28" ht="42" customHeight="1" spans="1:16">
      <c r="A28" s="10" t="s">
        <v>150</v>
      </c>
      <c r="B28" s="11">
        <v>1338.5</v>
      </c>
      <c r="C28" s="15" t="s">
        <v>164</v>
      </c>
      <c r="D28" s="13">
        <v>1338.5</v>
      </c>
      <c r="E28" s="13">
        <f t="shared" si="12"/>
        <v>0</v>
      </c>
      <c r="F28" s="13">
        <f t="shared" si="1"/>
        <v>100</v>
      </c>
      <c r="G28" s="14">
        <f t="shared" si="13"/>
        <v>1338.5</v>
      </c>
      <c r="H28" s="14">
        <f t="shared" si="2"/>
        <v>1338.5</v>
      </c>
      <c r="I28" s="13"/>
      <c r="J28" s="13"/>
      <c r="K28" s="13">
        <v>1338.5</v>
      </c>
      <c r="L28" s="13"/>
      <c r="M28" s="13"/>
      <c r="N28" s="13"/>
      <c r="O28" s="13"/>
      <c r="P28" s="13"/>
    </row>
    <row r="29" ht="42" customHeight="1" spans="1:16">
      <c r="A29" s="10" t="s">
        <v>150</v>
      </c>
      <c r="B29" s="11">
        <v>20</v>
      </c>
      <c r="C29" s="15" t="s">
        <v>187</v>
      </c>
      <c r="D29" s="13"/>
      <c r="E29" s="13">
        <f t="shared" si="12"/>
        <v>20</v>
      </c>
      <c r="F29" s="13">
        <f t="shared" si="1"/>
        <v>0</v>
      </c>
      <c r="G29" s="14">
        <f t="shared" si="13"/>
        <v>0</v>
      </c>
      <c r="H29" s="14">
        <f t="shared" si="2"/>
        <v>0</v>
      </c>
      <c r="I29" s="13"/>
      <c r="J29" s="13"/>
      <c r="K29" s="13"/>
      <c r="L29" s="13"/>
      <c r="M29" s="13"/>
      <c r="N29" s="13"/>
      <c r="O29" s="13"/>
      <c r="P29" s="85"/>
    </row>
    <row r="30" ht="42" customHeight="1" spans="1:16">
      <c r="A30" s="185" t="s">
        <v>188</v>
      </c>
      <c r="B30" s="11">
        <f t="shared" ref="B30:G30" si="14">B31+B32+B33+B34</f>
        <v>3000</v>
      </c>
      <c r="C30" s="15"/>
      <c r="D30" s="13">
        <f t="shared" si="14"/>
        <v>1515.63</v>
      </c>
      <c r="E30" s="13">
        <f t="shared" si="14"/>
        <v>1484.37</v>
      </c>
      <c r="F30" s="13">
        <f t="shared" si="1"/>
        <v>50.521</v>
      </c>
      <c r="G30" s="13">
        <f t="shared" si="14"/>
        <v>1515.63</v>
      </c>
      <c r="H30" s="14">
        <f t="shared" si="2"/>
        <v>15</v>
      </c>
      <c r="I30" s="13">
        <f t="shared" ref="I30:O30" si="15">I31+I32+I33+I34</f>
        <v>15</v>
      </c>
      <c r="J30" s="13">
        <f t="shared" si="15"/>
        <v>0</v>
      </c>
      <c r="K30" s="13">
        <f t="shared" si="15"/>
        <v>0</v>
      </c>
      <c r="L30" s="13">
        <f t="shared" si="15"/>
        <v>0</v>
      </c>
      <c r="M30" s="13">
        <f t="shared" si="15"/>
        <v>0</v>
      </c>
      <c r="N30" s="13">
        <f t="shared" si="15"/>
        <v>0</v>
      </c>
      <c r="O30" s="13">
        <f t="shared" si="15"/>
        <v>1500.63</v>
      </c>
      <c r="P30" s="13"/>
    </row>
    <row r="31" ht="42" customHeight="1" spans="1:16">
      <c r="A31" s="10" t="s">
        <v>150</v>
      </c>
      <c r="B31" s="11">
        <v>20</v>
      </c>
      <c r="C31" s="15" t="s">
        <v>176</v>
      </c>
      <c r="D31" s="13">
        <v>15</v>
      </c>
      <c r="E31" s="13">
        <f t="shared" ref="E31:E34" si="16">B31-D31</f>
        <v>5</v>
      </c>
      <c r="F31" s="13">
        <f t="shared" si="1"/>
        <v>75</v>
      </c>
      <c r="G31" s="14">
        <f t="shared" ref="G31:G34" si="17">H31+O31+P31</f>
        <v>15</v>
      </c>
      <c r="H31" s="14">
        <f t="shared" si="2"/>
        <v>15</v>
      </c>
      <c r="I31" s="13">
        <v>15</v>
      </c>
      <c r="J31" s="13"/>
      <c r="K31" s="13"/>
      <c r="L31" s="13"/>
      <c r="M31" s="13"/>
      <c r="N31" s="13"/>
      <c r="O31" s="13"/>
      <c r="P31" s="13"/>
    </row>
    <row r="32" ht="42" customHeight="1" spans="1:16">
      <c r="A32" s="10" t="s">
        <v>35</v>
      </c>
      <c r="B32" s="11">
        <v>1000</v>
      </c>
      <c r="C32" s="15" t="s">
        <v>177</v>
      </c>
      <c r="D32" s="13"/>
      <c r="E32" s="13">
        <f t="shared" si="16"/>
        <v>1000</v>
      </c>
      <c r="F32" s="13">
        <f t="shared" si="1"/>
        <v>0</v>
      </c>
      <c r="G32" s="14">
        <f t="shared" si="17"/>
        <v>0</v>
      </c>
      <c r="H32" s="14">
        <f t="shared" si="2"/>
        <v>0</v>
      </c>
      <c r="I32" s="13"/>
      <c r="J32" s="13"/>
      <c r="K32" s="13"/>
      <c r="L32" s="13"/>
      <c r="M32" s="13"/>
      <c r="N32" s="13"/>
      <c r="O32" s="13"/>
      <c r="P32" s="13"/>
    </row>
    <row r="33" ht="42" customHeight="1" spans="1:16">
      <c r="A33" s="10" t="s">
        <v>148</v>
      </c>
      <c r="B33" s="11">
        <v>1680</v>
      </c>
      <c r="C33" s="15" t="s">
        <v>174</v>
      </c>
      <c r="D33" s="13">
        <v>1500.63</v>
      </c>
      <c r="E33" s="13">
        <f t="shared" si="16"/>
        <v>179.37</v>
      </c>
      <c r="F33" s="13">
        <f t="shared" si="1"/>
        <v>89.3232142857143</v>
      </c>
      <c r="G33" s="14">
        <f t="shared" si="17"/>
        <v>1500.63</v>
      </c>
      <c r="H33" s="14">
        <f t="shared" si="2"/>
        <v>0</v>
      </c>
      <c r="I33" s="13"/>
      <c r="J33" s="13"/>
      <c r="K33" s="13"/>
      <c r="L33" s="13"/>
      <c r="M33" s="13"/>
      <c r="N33" s="13"/>
      <c r="O33" s="13">
        <v>1500.63</v>
      </c>
      <c r="P33" s="13"/>
    </row>
    <row r="34" ht="42" customHeight="1" spans="1:16">
      <c r="A34" s="10" t="s">
        <v>36</v>
      </c>
      <c r="B34" s="11">
        <v>300</v>
      </c>
      <c r="C34" s="15" t="s">
        <v>178</v>
      </c>
      <c r="D34" s="13"/>
      <c r="E34" s="13">
        <f t="shared" si="16"/>
        <v>300</v>
      </c>
      <c r="F34" s="13">
        <f t="shared" si="1"/>
        <v>0</v>
      </c>
      <c r="G34" s="14">
        <f t="shared" si="17"/>
        <v>0</v>
      </c>
      <c r="H34" s="14">
        <f t="shared" si="2"/>
        <v>0</v>
      </c>
      <c r="I34" s="13"/>
      <c r="J34" s="13"/>
      <c r="K34" s="13"/>
      <c r="L34" s="13"/>
      <c r="M34" s="13"/>
      <c r="N34" s="13"/>
      <c r="O34" s="13"/>
      <c r="P34" s="13"/>
    </row>
    <row r="35" ht="42" customHeight="1" spans="1:16">
      <c r="A35" s="205" t="s">
        <v>102</v>
      </c>
      <c r="B35" s="11">
        <f t="shared" ref="B35:G35" si="18">B36+B42</f>
        <v>3000</v>
      </c>
      <c r="C35" s="11">
        <f t="shared" si="18"/>
        <v>0</v>
      </c>
      <c r="D35" s="11">
        <f t="shared" si="18"/>
        <v>1605.66</v>
      </c>
      <c r="E35" s="11">
        <f t="shared" si="18"/>
        <v>1394.34</v>
      </c>
      <c r="F35" s="13">
        <f t="shared" si="1"/>
        <v>53.522</v>
      </c>
      <c r="G35" s="11">
        <f t="shared" si="18"/>
        <v>1605.66</v>
      </c>
      <c r="H35" s="14">
        <f t="shared" si="2"/>
        <v>1525.66</v>
      </c>
      <c r="I35" s="11">
        <f t="shared" ref="I35:P35" si="19">I36+I42</f>
        <v>0</v>
      </c>
      <c r="J35" s="11">
        <f t="shared" si="19"/>
        <v>901.6</v>
      </c>
      <c r="K35" s="11">
        <f t="shared" si="19"/>
        <v>340</v>
      </c>
      <c r="L35" s="11">
        <f t="shared" si="19"/>
        <v>254.06</v>
      </c>
      <c r="M35" s="11">
        <f t="shared" si="19"/>
        <v>30</v>
      </c>
      <c r="N35" s="11">
        <f t="shared" si="19"/>
        <v>0</v>
      </c>
      <c r="O35" s="11">
        <f t="shared" si="19"/>
        <v>0</v>
      </c>
      <c r="P35" s="11">
        <f t="shared" si="19"/>
        <v>80</v>
      </c>
    </row>
    <row r="36" ht="42" customHeight="1" spans="1:16">
      <c r="A36" s="180" t="s">
        <v>189</v>
      </c>
      <c r="B36" s="11">
        <f t="shared" ref="B36:G36" si="20">SUM(B37:B41)</f>
        <v>2350</v>
      </c>
      <c r="C36" s="11">
        <f t="shared" si="20"/>
        <v>0</v>
      </c>
      <c r="D36" s="11">
        <f t="shared" si="20"/>
        <v>1525.66</v>
      </c>
      <c r="E36" s="11">
        <f t="shared" si="20"/>
        <v>824.34</v>
      </c>
      <c r="F36" s="13">
        <f t="shared" si="1"/>
        <v>64.9217021276596</v>
      </c>
      <c r="G36" s="11">
        <f t="shared" si="20"/>
        <v>1525.66</v>
      </c>
      <c r="H36" s="14">
        <f t="shared" si="2"/>
        <v>1525.66</v>
      </c>
      <c r="I36" s="11">
        <f t="shared" ref="I36:P36" si="21">SUM(I37:I41)</f>
        <v>0</v>
      </c>
      <c r="J36" s="11">
        <f t="shared" si="21"/>
        <v>901.6</v>
      </c>
      <c r="K36" s="11">
        <f t="shared" si="21"/>
        <v>340</v>
      </c>
      <c r="L36" s="11">
        <f t="shared" si="21"/>
        <v>254.06</v>
      </c>
      <c r="M36" s="11">
        <f t="shared" si="21"/>
        <v>30</v>
      </c>
      <c r="N36" s="11">
        <f t="shared" si="21"/>
        <v>0</v>
      </c>
      <c r="O36" s="11">
        <f t="shared" si="21"/>
        <v>0</v>
      </c>
      <c r="P36" s="11">
        <f t="shared" si="21"/>
        <v>0</v>
      </c>
    </row>
    <row r="37" ht="42" customHeight="1" spans="1:16">
      <c r="A37" s="10" t="s">
        <v>150</v>
      </c>
      <c r="B37" s="11">
        <v>1020</v>
      </c>
      <c r="C37" s="12" t="s">
        <v>167</v>
      </c>
      <c r="D37" s="13">
        <v>901.6</v>
      </c>
      <c r="E37" s="13">
        <f t="shared" ref="E37:E47" si="22">B37-D37</f>
        <v>118.4</v>
      </c>
      <c r="F37" s="13">
        <f t="shared" si="1"/>
        <v>88.3921568627451</v>
      </c>
      <c r="G37" s="14">
        <f t="shared" ref="G37:G47" si="23">H37+O37+P37</f>
        <v>901.6</v>
      </c>
      <c r="H37" s="14">
        <f t="shared" si="2"/>
        <v>901.6</v>
      </c>
      <c r="I37" s="13">
        <v>0</v>
      </c>
      <c r="J37" s="13">
        <v>901.6</v>
      </c>
      <c r="K37" s="13"/>
      <c r="L37" s="13"/>
      <c r="M37" s="13"/>
      <c r="N37" s="13"/>
      <c r="O37" s="13"/>
      <c r="P37" s="13"/>
    </row>
    <row r="38" ht="42" customHeight="1" spans="1:16">
      <c r="A38" s="10" t="s">
        <v>37</v>
      </c>
      <c r="B38" s="11">
        <v>100</v>
      </c>
      <c r="C38" s="15" t="s">
        <v>168</v>
      </c>
      <c r="D38" s="13">
        <v>29.06</v>
      </c>
      <c r="E38" s="13">
        <f t="shared" si="22"/>
        <v>70.94</v>
      </c>
      <c r="F38" s="13">
        <f t="shared" si="1"/>
        <v>29.06</v>
      </c>
      <c r="G38" s="14">
        <f t="shared" si="23"/>
        <v>29.06</v>
      </c>
      <c r="H38" s="14">
        <f t="shared" si="2"/>
        <v>29.06</v>
      </c>
      <c r="I38" s="13">
        <v>0</v>
      </c>
      <c r="J38" s="13"/>
      <c r="K38" s="13"/>
      <c r="L38" s="13">
        <v>29.06</v>
      </c>
      <c r="M38" s="13"/>
      <c r="N38" s="13"/>
      <c r="O38" s="13"/>
      <c r="P38" s="13"/>
    </row>
    <row r="39" ht="42" customHeight="1" spans="1:16">
      <c r="A39" s="10" t="s">
        <v>150</v>
      </c>
      <c r="B39" s="11">
        <v>400</v>
      </c>
      <c r="C39" s="12" t="s">
        <v>164</v>
      </c>
      <c r="D39" s="13">
        <v>340</v>
      </c>
      <c r="E39" s="13">
        <f t="shared" si="22"/>
        <v>60</v>
      </c>
      <c r="F39" s="13">
        <f t="shared" si="1"/>
        <v>85</v>
      </c>
      <c r="G39" s="14">
        <f t="shared" si="23"/>
        <v>340</v>
      </c>
      <c r="H39" s="14">
        <f t="shared" si="2"/>
        <v>340</v>
      </c>
      <c r="I39" s="13"/>
      <c r="J39" s="13"/>
      <c r="K39" s="13">
        <v>340</v>
      </c>
      <c r="L39" s="13"/>
      <c r="M39" s="13"/>
      <c r="N39" s="13"/>
      <c r="O39" s="13"/>
      <c r="P39" s="13"/>
    </row>
    <row r="40" ht="42" customHeight="1" spans="1:16">
      <c r="A40" s="10" t="s">
        <v>37</v>
      </c>
      <c r="B40" s="11">
        <v>780</v>
      </c>
      <c r="C40" s="15" t="s">
        <v>163</v>
      </c>
      <c r="D40" s="13">
        <v>230</v>
      </c>
      <c r="E40" s="13">
        <f t="shared" si="22"/>
        <v>550</v>
      </c>
      <c r="F40" s="13">
        <f t="shared" si="1"/>
        <v>29.4871794871795</v>
      </c>
      <c r="G40" s="14">
        <f t="shared" si="23"/>
        <v>230</v>
      </c>
      <c r="H40" s="14">
        <f t="shared" si="2"/>
        <v>230</v>
      </c>
      <c r="I40" s="13"/>
      <c r="J40" s="13"/>
      <c r="K40" s="13"/>
      <c r="L40" s="13">
        <v>200</v>
      </c>
      <c r="M40" s="13">
        <v>30</v>
      </c>
      <c r="N40" s="13"/>
      <c r="O40" s="13"/>
      <c r="P40" s="13"/>
    </row>
    <row r="41" ht="42" customHeight="1" spans="1:16">
      <c r="A41" s="10" t="s">
        <v>150</v>
      </c>
      <c r="B41" s="11">
        <v>50</v>
      </c>
      <c r="C41" s="15" t="s">
        <v>169</v>
      </c>
      <c r="D41" s="13">
        <v>25</v>
      </c>
      <c r="E41" s="13">
        <f t="shared" si="22"/>
        <v>25</v>
      </c>
      <c r="F41" s="13">
        <f t="shared" si="1"/>
        <v>50</v>
      </c>
      <c r="G41" s="14">
        <f t="shared" si="23"/>
        <v>25</v>
      </c>
      <c r="H41" s="14">
        <f t="shared" si="2"/>
        <v>25</v>
      </c>
      <c r="I41" s="13">
        <v>0</v>
      </c>
      <c r="J41" s="13"/>
      <c r="K41" s="13"/>
      <c r="L41" s="13">
        <v>25</v>
      </c>
      <c r="M41" s="13"/>
      <c r="N41" s="13"/>
      <c r="O41" s="13"/>
      <c r="P41" s="13"/>
    </row>
    <row r="42" ht="42" customHeight="1" spans="1:16">
      <c r="A42" s="180" t="s">
        <v>190</v>
      </c>
      <c r="B42" s="11">
        <f>SUM(B43:B47)</f>
        <v>650</v>
      </c>
      <c r="C42" s="11">
        <f>SUM(C43:C47)</f>
        <v>0</v>
      </c>
      <c r="D42" s="13">
        <f>SUM(D43:D47)</f>
        <v>80</v>
      </c>
      <c r="E42" s="13">
        <f t="shared" si="22"/>
        <v>570</v>
      </c>
      <c r="F42" s="13">
        <f t="shared" si="1"/>
        <v>12.3076923076923</v>
      </c>
      <c r="G42" s="14">
        <f t="shared" si="23"/>
        <v>80</v>
      </c>
      <c r="H42" s="14">
        <f t="shared" si="2"/>
        <v>0</v>
      </c>
      <c r="I42" s="11">
        <f t="shared" ref="I42:P42" si="24">SUM(I43:I47)</f>
        <v>0</v>
      </c>
      <c r="J42" s="11">
        <f t="shared" si="24"/>
        <v>0</v>
      </c>
      <c r="K42" s="11">
        <f t="shared" si="24"/>
        <v>0</v>
      </c>
      <c r="L42" s="11">
        <f t="shared" si="24"/>
        <v>0</v>
      </c>
      <c r="M42" s="11">
        <f t="shared" si="24"/>
        <v>0</v>
      </c>
      <c r="N42" s="11">
        <f t="shared" si="24"/>
        <v>0</v>
      </c>
      <c r="O42" s="11">
        <f t="shared" si="24"/>
        <v>0</v>
      </c>
      <c r="P42" s="11">
        <f t="shared" si="24"/>
        <v>80</v>
      </c>
    </row>
    <row r="43" ht="42" customHeight="1" spans="1:16">
      <c r="A43" s="10" t="s">
        <v>191</v>
      </c>
      <c r="B43" s="11">
        <v>150</v>
      </c>
      <c r="C43" s="15" t="s">
        <v>192</v>
      </c>
      <c r="D43" s="13"/>
      <c r="E43" s="13">
        <f t="shared" si="22"/>
        <v>150</v>
      </c>
      <c r="F43" s="13">
        <f t="shared" si="1"/>
        <v>0</v>
      </c>
      <c r="G43" s="14">
        <f t="shared" si="23"/>
        <v>0</v>
      </c>
      <c r="H43" s="14">
        <f t="shared" si="2"/>
        <v>0</v>
      </c>
      <c r="I43" s="13"/>
      <c r="J43" s="13"/>
      <c r="K43" s="13"/>
      <c r="L43" s="13"/>
      <c r="M43" s="13"/>
      <c r="N43" s="13"/>
      <c r="O43" s="13"/>
      <c r="P43" s="13"/>
    </row>
    <row r="44" ht="42" customHeight="1" spans="1:16">
      <c r="A44" s="10" t="s">
        <v>150</v>
      </c>
      <c r="B44" s="11">
        <v>140</v>
      </c>
      <c r="C44" s="15" t="s">
        <v>193</v>
      </c>
      <c r="D44" s="13"/>
      <c r="E44" s="13">
        <f t="shared" si="22"/>
        <v>140</v>
      </c>
      <c r="F44" s="13">
        <f t="shared" si="1"/>
        <v>0</v>
      </c>
      <c r="G44" s="14">
        <f t="shared" si="23"/>
        <v>0</v>
      </c>
      <c r="H44" s="14">
        <f t="shared" si="2"/>
        <v>0</v>
      </c>
      <c r="I44" s="13"/>
      <c r="J44" s="13"/>
      <c r="K44" s="13"/>
      <c r="L44" s="13"/>
      <c r="M44" s="13"/>
      <c r="N44" s="13"/>
      <c r="O44" s="13"/>
      <c r="P44" s="13"/>
    </row>
    <row r="45" ht="42" customHeight="1" spans="1:16">
      <c r="A45" s="10" t="s">
        <v>150</v>
      </c>
      <c r="B45" s="11">
        <v>100</v>
      </c>
      <c r="C45" s="15" t="s">
        <v>194</v>
      </c>
      <c r="D45" s="13"/>
      <c r="E45" s="13">
        <f t="shared" si="22"/>
        <v>100</v>
      </c>
      <c r="F45" s="13">
        <f t="shared" si="1"/>
        <v>0</v>
      </c>
      <c r="G45" s="14">
        <f t="shared" si="23"/>
        <v>0</v>
      </c>
      <c r="H45" s="14">
        <f t="shared" si="2"/>
        <v>0</v>
      </c>
      <c r="I45" s="13"/>
      <c r="J45" s="13"/>
      <c r="K45" s="13"/>
      <c r="L45" s="13"/>
      <c r="M45" s="13"/>
      <c r="N45" s="13"/>
      <c r="O45" s="13"/>
      <c r="P45" s="13"/>
    </row>
    <row r="46" ht="42" customHeight="1" spans="1:16">
      <c r="A46" s="10" t="s">
        <v>195</v>
      </c>
      <c r="B46" s="11">
        <v>100</v>
      </c>
      <c r="C46" s="15" t="s">
        <v>196</v>
      </c>
      <c r="D46" s="13"/>
      <c r="E46" s="13">
        <f t="shared" si="22"/>
        <v>100</v>
      </c>
      <c r="F46" s="13">
        <f t="shared" si="1"/>
        <v>0</v>
      </c>
      <c r="G46" s="14">
        <f t="shared" si="23"/>
        <v>0</v>
      </c>
      <c r="H46" s="14">
        <f t="shared" si="2"/>
        <v>0</v>
      </c>
      <c r="I46" s="13"/>
      <c r="J46" s="13"/>
      <c r="K46" s="13"/>
      <c r="L46" s="13"/>
      <c r="M46" s="13"/>
      <c r="N46" s="13"/>
      <c r="O46" s="13"/>
      <c r="P46" s="13"/>
    </row>
    <row r="47" ht="42" customHeight="1" spans="1:16">
      <c r="A47" s="10" t="s">
        <v>197</v>
      </c>
      <c r="B47" s="11">
        <v>160</v>
      </c>
      <c r="C47" s="15" t="s">
        <v>198</v>
      </c>
      <c r="D47" s="13">
        <v>80</v>
      </c>
      <c r="E47" s="13">
        <f t="shared" si="22"/>
        <v>80</v>
      </c>
      <c r="F47" s="13">
        <f t="shared" si="1"/>
        <v>50</v>
      </c>
      <c r="G47" s="14">
        <f t="shared" si="23"/>
        <v>80</v>
      </c>
      <c r="H47" s="14">
        <f t="shared" si="2"/>
        <v>0</v>
      </c>
      <c r="I47" s="13"/>
      <c r="J47" s="13"/>
      <c r="K47" s="13"/>
      <c r="L47" s="13"/>
      <c r="M47" s="13"/>
      <c r="N47" s="13"/>
      <c r="O47" s="13"/>
      <c r="P47" s="13">
        <v>80</v>
      </c>
    </row>
    <row r="48" ht="43" customHeight="1" spans="1:16">
      <c r="A48" s="206" t="s">
        <v>27</v>
      </c>
      <c r="B48" s="177">
        <f t="shared" ref="B48:P48" si="25">B35+B6</f>
        <v>25351.5</v>
      </c>
      <c r="C48" s="177">
        <f t="shared" si="25"/>
        <v>0</v>
      </c>
      <c r="D48" s="178">
        <f t="shared" si="25"/>
        <v>18199.19</v>
      </c>
      <c r="E48" s="178">
        <f t="shared" si="25"/>
        <v>7152.31</v>
      </c>
      <c r="F48" s="178">
        <f t="shared" si="1"/>
        <v>71.7874287517504</v>
      </c>
      <c r="G48" s="178">
        <f t="shared" si="25"/>
        <v>18199.19388</v>
      </c>
      <c r="H48" s="178">
        <f t="shared" si="25"/>
        <v>16009.79288</v>
      </c>
      <c r="I48" s="178">
        <f t="shared" si="25"/>
        <v>4630.9</v>
      </c>
      <c r="J48" s="178">
        <f t="shared" si="25"/>
        <v>7404.6</v>
      </c>
      <c r="K48" s="178">
        <f t="shared" si="25"/>
        <v>2178.5</v>
      </c>
      <c r="L48" s="178">
        <f t="shared" si="25"/>
        <v>445.76</v>
      </c>
      <c r="M48" s="178">
        <f t="shared" si="25"/>
        <v>550</v>
      </c>
      <c r="N48" s="178">
        <f t="shared" si="25"/>
        <v>800.03288</v>
      </c>
      <c r="O48" s="178">
        <f t="shared" si="25"/>
        <v>2093.16</v>
      </c>
      <c r="P48" s="178">
        <f t="shared" si="25"/>
        <v>96.241</v>
      </c>
    </row>
    <row r="49" ht="43" customHeight="1" spans="1:16">
      <c r="A49" s="207" t="s">
        <v>205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</row>
    <row r="50" ht="40" customHeight="1" spans="1:16">
      <c r="A50" s="209" t="s">
        <v>170</v>
      </c>
      <c r="B50" s="210">
        <f t="shared" ref="B50:P50" si="26">SUM(B51:B63)</f>
        <v>25351.5</v>
      </c>
      <c r="C50" s="211"/>
      <c r="D50" s="211">
        <f t="shared" si="26"/>
        <v>18199.19</v>
      </c>
      <c r="E50" s="211">
        <f t="shared" si="26"/>
        <v>7152.31</v>
      </c>
      <c r="F50" s="211">
        <f t="shared" ref="F50:F63" si="27">D50/B50*100</f>
        <v>71.7874287517504</v>
      </c>
      <c r="G50" s="211">
        <f t="shared" si="26"/>
        <v>18199.19388</v>
      </c>
      <c r="H50" s="211">
        <f t="shared" si="26"/>
        <v>16009.79288</v>
      </c>
      <c r="I50" s="211">
        <f t="shared" si="26"/>
        <v>4630.9</v>
      </c>
      <c r="J50" s="211">
        <f t="shared" si="26"/>
        <v>7404.6</v>
      </c>
      <c r="K50" s="211">
        <f t="shared" si="26"/>
        <v>2178.5</v>
      </c>
      <c r="L50" s="211">
        <f t="shared" si="26"/>
        <v>445.76</v>
      </c>
      <c r="M50" s="211">
        <f t="shared" si="26"/>
        <v>550</v>
      </c>
      <c r="N50" s="211">
        <f t="shared" si="26"/>
        <v>800.03288</v>
      </c>
      <c r="O50" s="211">
        <f t="shared" si="26"/>
        <v>2093.16</v>
      </c>
      <c r="P50" s="211">
        <f t="shared" si="26"/>
        <v>96.241</v>
      </c>
    </row>
    <row r="51" ht="40" customHeight="1" spans="1:16">
      <c r="A51" s="10" t="s">
        <v>148</v>
      </c>
      <c r="B51" s="13">
        <f t="shared" ref="B51:P51" si="28">B9+B21+B33</f>
        <v>3177</v>
      </c>
      <c r="C51" s="13"/>
      <c r="D51" s="13">
        <f t="shared" si="28"/>
        <v>2093.16</v>
      </c>
      <c r="E51" s="13">
        <f t="shared" si="28"/>
        <v>1083.84</v>
      </c>
      <c r="F51" s="13">
        <f t="shared" si="27"/>
        <v>65.8847969782814</v>
      </c>
      <c r="G51" s="13">
        <f t="shared" si="28"/>
        <v>2093.16</v>
      </c>
      <c r="H51" s="13">
        <f t="shared" si="28"/>
        <v>0</v>
      </c>
      <c r="I51" s="13">
        <f t="shared" si="28"/>
        <v>0</v>
      </c>
      <c r="J51" s="13">
        <f t="shared" si="28"/>
        <v>0</v>
      </c>
      <c r="K51" s="13">
        <f t="shared" si="28"/>
        <v>0</v>
      </c>
      <c r="L51" s="13">
        <f t="shared" si="28"/>
        <v>0</v>
      </c>
      <c r="M51" s="13">
        <f t="shared" si="28"/>
        <v>0</v>
      </c>
      <c r="N51" s="13">
        <f t="shared" si="28"/>
        <v>0</v>
      </c>
      <c r="O51" s="13">
        <f t="shared" si="28"/>
        <v>2093.16</v>
      </c>
      <c r="P51" s="13">
        <f t="shared" si="28"/>
        <v>0</v>
      </c>
    </row>
    <row r="52" ht="40" customHeight="1" spans="1:16">
      <c r="A52" s="10" t="s">
        <v>150</v>
      </c>
      <c r="B52" s="13">
        <f t="shared" ref="B52:P52" si="29">B10+B16+B22+B29+B31+B44+B45+B26+B28+B37+B39+B41</f>
        <v>11849.5</v>
      </c>
      <c r="C52" s="13"/>
      <c r="D52" s="13">
        <f t="shared" si="29"/>
        <v>11366</v>
      </c>
      <c r="E52" s="13">
        <f t="shared" si="29"/>
        <v>483.5</v>
      </c>
      <c r="F52" s="13">
        <f t="shared" si="27"/>
        <v>95.9196590573442</v>
      </c>
      <c r="G52" s="13">
        <f t="shared" si="29"/>
        <v>11366</v>
      </c>
      <c r="H52" s="13">
        <f t="shared" si="29"/>
        <v>11366</v>
      </c>
      <c r="I52" s="13">
        <f t="shared" si="29"/>
        <v>4630.9</v>
      </c>
      <c r="J52" s="13">
        <f t="shared" si="29"/>
        <v>4531.6</v>
      </c>
      <c r="K52" s="13">
        <f t="shared" si="29"/>
        <v>2178.5</v>
      </c>
      <c r="L52" s="13">
        <f t="shared" si="29"/>
        <v>25</v>
      </c>
      <c r="M52" s="13">
        <f t="shared" si="29"/>
        <v>0</v>
      </c>
      <c r="N52" s="13">
        <f t="shared" si="29"/>
        <v>0</v>
      </c>
      <c r="O52" s="13">
        <f t="shared" si="29"/>
        <v>0</v>
      </c>
      <c r="P52" s="13">
        <f t="shared" si="29"/>
        <v>0</v>
      </c>
    </row>
    <row r="53" ht="40" customHeight="1" spans="1:16">
      <c r="A53" s="10" t="s">
        <v>152</v>
      </c>
      <c r="B53" s="13">
        <f t="shared" ref="B53:P53" si="30">B11+B17+B23</f>
        <v>2453</v>
      </c>
      <c r="C53" s="13"/>
      <c r="D53" s="13">
        <f t="shared" si="30"/>
        <v>0</v>
      </c>
      <c r="E53" s="13">
        <f t="shared" si="30"/>
        <v>2453</v>
      </c>
      <c r="F53" s="13">
        <f t="shared" si="27"/>
        <v>0</v>
      </c>
      <c r="G53" s="13">
        <f t="shared" si="30"/>
        <v>0</v>
      </c>
      <c r="H53" s="13">
        <f t="shared" si="30"/>
        <v>0</v>
      </c>
      <c r="I53" s="13">
        <f t="shared" si="30"/>
        <v>0</v>
      </c>
      <c r="J53" s="13">
        <f t="shared" si="30"/>
        <v>0</v>
      </c>
      <c r="K53" s="13">
        <f t="shared" si="30"/>
        <v>0</v>
      </c>
      <c r="L53" s="13">
        <f t="shared" si="30"/>
        <v>0</v>
      </c>
      <c r="M53" s="13">
        <f t="shared" si="30"/>
        <v>0</v>
      </c>
      <c r="N53" s="13">
        <f t="shared" si="30"/>
        <v>0</v>
      </c>
      <c r="O53" s="13">
        <f t="shared" si="30"/>
        <v>0</v>
      </c>
      <c r="P53" s="13">
        <f t="shared" si="30"/>
        <v>0</v>
      </c>
    </row>
    <row r="54" ht="40" customHeight="1" spans="1:16">
      <c r="A54" s="10" t="s">
        <v>154</v>
      </c>
      <c r="B54" s="13">
        <f t="shared" ref="B54:P54" si="31">B12</f>
        <v>567</v>
      </c>
      <c r="C54" s="13"/>
      <c r="D54" s="13">
        <f t="shared" si="31"/>
        <v>567</v>
      </c>
      <c r="E54" s="13">
        <f t="shared" si="31"/>
        <v>0</v>
      </c>
      <c r="F54" s="13">
        <f t="shared" si="27"/>
        <v>100</v>
      </c>
      <c r="G54" s="13">
        <f t="shared" si="31"/>
        <v>567</v>
      </c>
      <c r="H54" s="13">
        <f t="shared" si="31"/>
        <v>567</v>
      </c>
      <c r="I54" s="13">
        <f t="shared" si="31"/>
        <v>0</v>
      </c>
      <c r="J54" s="13">
        <f t="shared" si="31"/>
        <v>0</v>
      </c>
      <c r="K54" s="13">
        <f t="shared" si="31"/>
        <v>0</v>
      </c>
      <c r="L54" s="13">
        <f t="shared" si="31"/>
        <v>0</v>
      </c>
      <c r="M54" s="13">
        <f t="shared" si="31"/>
        <v>0</v>
      </c>
      <c r="N54" s="13">
        <f t="shared" si="31"/>
        <v>567</v>
      </c>
      <c r="O54" s="13">
        <f t="shared" si="31"/>
        <v>0</v>
      </c>
      <c r="P54" s="13">
        <f t="shared" si="31"/>
        <v>0</v>
      </c>
    </row>
    <row r="55" ht="40" customHeight="1" spans="1:16">
      <c r="A55" s="10" t="s">
        <v>36</v>
      </c>
      <c r="B55" s="13">
        <f t="shared" ref="B55:P55" si="32">B13+B34</f>
        <v>856</v>
      </c>
      <c r="C55" s="13"/>
      <c r="D55" s="13">
        <f t="shared" si="32"/>
        <v>249.59</v>
      </c>
      <c r="E55" s="13">
        <f t="shared" si="32"/>
        <v>606.41</v>
      </c>
      <c r="F55" s="13">
        <f t="shared" si="27"/>
        <v>29.1577102803738</v>
      </c>
      <c r="G55" s="13">
        <f t="shared" si="32"/>
        <v>249.59388</v>
      </c>
      <c r="H55" s="13">
        <f t="shared" si="32"/>
        <v>233.35288</v>
      </c>
      <c r="I55" s="13">
        <f t="shared" si="32"/>
        <v>0</v>
      </c>
      <c r="J55" s="13">
        <f t="shared" si="32"/>
        <v>0</v>
      </c>
      <c r="K55" s="13">
        <f t="shared" si="32"/>
        <v>0</v>
      </c>
      <c r="L55" s="13">
        <f t="shared" si="32"/>
        <v>191.7</v>
      </c>
      <c r="M55" s="13">
        <f t="shared" si="32"/>
        <v>0</v>
      </c>
      <c r="N55" s="13">
        <f t="shared" si="32"/>
        <v>41.65288</v>
      </c>
      <c r="O55" s="13">
        <f t="shared" si="32"/>
        <v>0</v>
      </c>
      <c r="P55" s="13">
        <f t="shared" si="32"/>
        <v>16.241</v>
      </c>
    </row>
    <row r="56" ht="40" customHeight="1" spans="1:16">
      <c r="A56" s="10" t="s">
        <v>33</v>
      </c>
      <c r="B56" s="13">
        <f t="shared" ref="B56:P56" si="33">B14+B25</f>
        <v>3260</v>
      </c>
      <c r="C56" s="13"/>
      <c r="D56" s="13">
        <f t="shared" si="33"/>
        <v>3064.38</v>
      </c>
      <c r="E56" s="13">
        <f t="shared" si="33"/>
        <v>195.62</v>
      </c>
      <c r="F56" s="13">
        <f t="shared" si="27"/>
        <v>93.9993865030675</v>
      </c>
      <c r="G56" s="13">
        <f t="shared" si="33"/>
        <v>3064.38</v>
      </c>
      <c r="H56" s="13">
        <f t="shared" si="33"/>
        <v>3064.38</v>
      </c>
      <c r="I56" s="13">
        <f t="shared" si="33"/>
        <v>0</v>
      </c>
      <c r="J56" s="13">
        <f t="shared" si="33"/>
        <v>2873</v>
      </c>
      <c r="K56" s="13">
        <f t="shared" si="33"/>
        <v>0</v>
      </c>
      <c r="L56" s="13">
        <f t="shared" si="33"/>
        <v>0</v>
      </c>
      <c r="M56" s="13">
        <f t="shared" si="33"/>
        <v>0</v>
      </c>
      <c r="N56" s="13">
        <f t="shared" si="33"/>
        <v>191.38</v>
      </c>
      <c r="O56" s="13">
        <f t="shared" si="33"/>
        <v>0</v>
      </c>
      <c r="P56" s="13">
        <f t="shared" si="33"/>
        <v>0</v>
      </c>
    </row>
    <row r="57" ht="40" customHeight="1" spans="1:16">
      <c r="A57" s="10" t="s">
        <v>56</v>
      </c>
      <c r="B57" s="13">
        <f t="shared" ref="B57:P57" si="34">B18</f>
        <v>329</v>
      </c>
      <c r="C57" s="13"/>
      <c r="D57" s="13">
        <f t="shared" si="34"/>
        <v>0</v>
      </c>
      <c r="E57" s="13">
        <f t="shared" si="34"/>
        <v>329</v>
      </c>
      <c r="F57" s="13">
        <f t="shared" si="27"/>
        <v>0</v>
      </c>
      <c r="G57" s="13">
        <f t="shared" si="34"/>
        <v>0</v>
      </c>
      <c r="H57" s="13">
        <f t="shared" si="34"/>
        <v>0</v>
      </c>
      <c r="I57" s="13">
        <f t="shared" si="34"/>
        <v>0</v>
      </c>
      <c r="J57" s="13">
        <f t="shared" si="34"/>
        <v>0</v>
      </c>
      <c r="K57" s="13">
        <f t="shared" si="34"/>
        <v>0</v>
      </c>
      <c r="L57" s="13">
        <f t="shared" si="34"/>
        <v>0</v>
      </c>
      <c r="M57" s="13">
        <f t="shared" si="34"/>
        <v>0</v>
      </c>
      <c r="N57" s="13">
        <f t="shared" si="34"/>
        <v>0</v>
      </c>
      <c r="O57" s="13">
        <f t="shared" si="34"/>
        <v>0</v>
      </c>
      <c r="P57" s="13">
        <f t="shared" si="34"/>
        <v>0</v>
      </c>
    </row>
    <row r="58" ht="40" customHeight="1" spans="1:16">
      <c r="A58" s="10" t="s">
        <v>199</v>
      </c>
      <c r="B58" s="13">
        <f t="shared" ref="B58:P58" si="35">B19</f>
        <v>50</v>
      </c>
      <c r="C58" s="13"/>
      <c r="D58" s="13">
        <f t="shared" si="35"/>
        <v>0</v>
      </c>
      <c r="E58" s="13">
        <f t="shared" si="35"/>
        <v>50</v>
      </c>
      <c r="F58" s="13">
        <f t="shared" si="27"/>
        <v>0</v>
      </c>
      <c r="G58" s="13">
        <f t="shared" si="35"/>
        <v>0</v>
      </c>
      <c r="H58" s="13">
        <f t="shared" si="35"/>
        <v>0</v>
      </c>
      <c r="I58" s="13">
        <f t="shared" si="35"/>
        <v>0</v>
      </c>
      <c r="J58" s="13">
        <f t="shared" si="35"/>
        <v>0</v>
      </c>
      <c r="K58" s="13">
        <f t="shared" si="35"/>
        <v>0</v>
      </c>
      <c r="L58" s="13">
        <f t="shared" si="35"/>
        <v>0</v>
      </c>
      <c r="M58" s="13">
        <f t="shared" si="35"/>
        <v>0</v>
      </c>
      <c r="N58" s="13">
        <f t="shared" si="35"/>
        <v>0</v>
      </c>
      <c r="O58" s="13">
        <f t="shared" si="35"/>
        <v>0</v>
      </c>
      <c r="P58" s="13">
        <f t="shared" si="35"/>
        <v>0</v>
      </c>
    </row>
    <row r="59" ht="40" customHeight="1" spans="1:16">
      <c r="A59" s="10" t="s">
        <v>37</v>
      </c>
      <c r="B59" s="13">
        <f t="shared" ref="B59:P59" si="36">B27+B38+B40</f>
        <v>1400</v>
      </c>
      <c r="C59" s="13"/>
      <c r="D59" s="13">
        <f t="shared" si="36"/>
        <v>779.06</v>
      </c>
      <c r="E59" s="13">
        <f t="shared" si="36"/>
        <v>620.94</v>
      </c>
      <c r="F59" s="13">
        <f t="shared" si="27"/>
        <v>55.6471428571429</v>
      </c>
      <c r="G59" s="13">
        <f t="shared" si="36"/>
        <v>779.06</v>
      </c>
      <c r="H59" s="13">
        <f t="shared" si="36"/>
        <v>779.06</v>
      </c>
      <c r="I59" s="13">
        <f t="shared" si="36"/>
        <v>0</v>
      </c>
      <c r="J59" s="13">
        <f t="shared" si="36"/>
        <v>0</v>
      </c>
      <c r="K59" s="13">
        <f t="shared" si="36"/>
        <v>0</v>
      </c>
      <c r="L59" s="13">
        <f t="shared" si="36"/>
        <v>229.06</v>
      </c>
      <c r="M59" s="13">
        <f t="shared" si="36"/>
        <v>550</v>
      </c>
      <c r="N59" s="13">
        <f t="shared" si="36"/>
        <v>0</v>
      </c>
      <c r="O59" s="13">
        <f t="shared" si="36"/>
        <v>0</v>
      </c>
      <c r="P59" s="13">
        <f t="shared" si="36"/>
        <v>0</v>
      </c>
    </row>
    <row r="60" ht="40" customHeight="1" spans="1:16">
      <c r="A60" s="10" t="s">
        <v>191</v>
      </c>
      <c r="B60" s="13">
        <f t="shared" ref="B60:P60" si="37">B43</f>
        <v>150</v>
      </c>
      <c r="C60" s="13"/>
      <c r="D60" s="13">
        <f t="shared" si="37"/>
        <v>0</v>
      </c>
      <c r="E60" s="13">
        <f t="shared" si="37"/>
        <v>150</v>
      </c>
      <c r="F60" s="13">
        <f t="shared" si="27"/>
        <v>0</v>
      </c>
      <c r="G60" s="13">
        <f t="shared" si="37"/>
        <v>0</v>
      </c>
      <c r="H60" s="13">
        <f t="shared" si="37"/>
        <v>0</v>
      </c>
      <c r="I60" s="13">
        <f t="shared" si="37"/>
        <v>0</v>
      </c>
      <c r="J60" s="13">
        <f t="shared" si="37"/>
        <v>0</v>
      </c>
      <c r="K60" s="13">
        <f t="shared" si="37"/>
        <v>0</v>
      </c>
      <c r="L60" s="13">
        <f t="shared" si="37"/>
        <v>0</v>
      </c>
      <c r="M60" s="13">
        <f t="shared" si="37"/>
        <v>0</v>
      </c>
      <c r="N60" s="13">
        <f t="shared" si="37"/>
        <v>0</v>
      </c>
      <c r="O60" s="13">
        <f t="shared" si="37"/>
        <v>0</v>
      </c>
      <c r="P60" s="13">
        <f t="shared" si="37"/>
        <v>0</v>
      </c>
    </row>
    <row r="61" ht="38" customHeight="1" spans="1:16">
      <c r="A61" s="10" t="s">
        <v>195</v>
      </c>
      <c r="B61" s="13">
        <f t="shared" ref="B61:P61" si="38">B46</f>
        <v>100</v>
      </c>
      <c r="C61" s="13"/>
      <c r="D61" s="13">
        <f t="shared" si="38"/>
        <v>0</v>
      </c>
      <c r="E61" s="13">
        <f t="shared" si="38"/>
        <v>100</v>
      </c>
      <c r="F61" s="13">
        <f t="shared" si="27"/>
        <v>0</v>
      </c>
      <c r="G61" s="13">
        <f t="shared" si="38"/>
        <v>0</v>
      </c>
      <c r="H61" s="13">
        <f t="shared" si="38"/>
        <v>0</v>
      </c>
      <c r="I61" s="13">
        <f t="shared" si="38"/>
        <v>0</v>
      </c>
      <c r="J61" s="13">
        <f t="shared" si="38"/>
        <v>0</v>
      </c>
      <c r="K61" s="13">
        <f t="shared" si="38"/>
        <v>0</v>
      </c>
      <c r="L61" s="13">
        <f t="shared" si="38"/>
        <v>0</v>
      </c>
      <c r="M61" s="13">
        <f t="shared" si="38"/>
        <v>0</v>
      </c>
      <c r="N61" s="13">
        <f t="shared" si="38"/>
        <v>0</v>
      </c>
      <c r="O61" s="13">
        <f t="shared" si="38"/>
        <v>0</v>
      </c>
      <c r="P61" s="13">
        <f t="shared" si="38"/>
        <v>0</v>
      </c>
    </row>
    <row r="62" ht="38" customHeight="1" spans="1:16">
      <c r="A62" s="10" t="s">
        <v>35</v>
      </c>
      <c r="B62" s="13">
        <f t="shared" ref="B62:P62" si="39">B32</f>
        <v>1000</v>
      </c>
      <c r="C62" s="13"/>
      <c r="D62" s="13">
        <f t="shared" si="39"/>
        <v>0</v>
      </c>
      <c r="E62" s="13">
        <f t="shared" si="39"/>
        <v>1000</v>
      </c>
      <c r="F62" s="13">
        <f t="shared" si="27"/>
        <v>0</v>
      </c>
      <c r="G62" s="13">
        <f t="shared" si="39"/>
        <v>0</v>
      </c>
      <c r="H62" s="13">
        <f t="shared" si="39"/>
        <v>0</v>
      </c>
      <c r="I62" s="13">
        <f t="shared" si="39"/>
        <v>0</v>
      </c>
      <c r="J62" s="13">
        <f t="shared" si="39"/>
        <v>0</v>
      </c>
      <c r="K62" s="13">
        <f t="shared" si="39"/>
        <v>0</v>
      </c>
      <c r="L62" s="13">
        <f t="shared" si="39"/>
        <v>0</v>
      </c>
      <c r="M62" s="13">
        <f t="shared" si="39"/>
        <v>0</v>
      </c>
      <c r="N62" s="13">
        <f t="shared" si="39"/>
        <v>0</v>
      </c>
      <c r="O62" s="13">
        <f t="shared" si="39"/>
        <v>0</v>
      </c>
      <c r="P62" s="13">
        <f t="shared" si="39"/>
        <v>0</v>
      </c>
    </row>
    <row r="63" ht="38" customHeight="1" spans="1:16">
      <c r="A63" s="10" t="s">
        <v>197</v>
      </c>
      <c r="B63" s="13">
        <f t="shared" ref="B63:P63" si="40">B47</f>
        <v>160</v>
      </c>
      <c r="C63" s="13"/>
      <c r="D63" s="13">
        <f t="shared" si="40"/>
        <v>80</v>
      </c>
      <c r="E63" s="13">
        <f t="shared" si="40"/>
        <v>80</v>
      </c>
      <c r="F63" s="13">
        <f t="shared" si="27"/>
        <v>50</v>
      </c>
      <c r="G63" s="13">
        <f t="shared" si="40"/>
        <v>80</v>
      </c>
      <c r="H63" s="13">
        <f t="shared" si="40"/>
        <v>0</v>
      </c>
      <c r="I63" s="13">
        <f t="shared" si="40"/>
        <v>0</v>
      </c>
      <c r="J63" s="13">
        <f t="shared" si="40"/>
        <v>0</v>
      </c>
      <c r="K63" s="13">
        <f t="shared" si="40"/>
        <v>0</v>
      </c>
      <c r="L63" s="13">
        <f t="shared" si="40"/>
        <v>0</v>
      </c>
      <c r="M63" s="13">
        <f t="shared" si="40"/>
        <v>0</v>
      </c>
      <c r="N63" s="13">
        <f t="shared" si="40"/>
        <v>0</v>
      </c>
      <c r="O63" s="13">
        <f t="shared" si="40"/>
        <v>0</v>
      </c>
      <c r="P63" s="13">
        <f t="shared" si="40"/>
        <v>80</v>
      </c>
    </row>
  </sheetData>
  <mergeCells count="15">
    <mergeCell ref="A1:P1"/>
    <mergeCell ref="C2:K2"/>
    <mergeCell ref="O2:P2"/>
    <mergeCell ref="G3:P3"/>
    <mergeCell ref="H4:N4"/>
    <mergeCell ref="A49:P49"/>
    <mergeCell ref="A3:A5"/>
    <mergeCell ref="B3:B5"/>
    <mergeCell ref="C3:C5"/>
    <mergeCell ref="D3:D5"/>
    <mergeCell ref="E3:E5"/>
    <mergeCell ref="F3:F5"/>
    <mergeCell ref="G4:G5"/>
    <mergeCell ref="O4:O5"/>
    <mergeCell ref="P4:P5"/>
  </mergeCells>
  <pageMargins left="0.609027777777778" right="0.354166666666667" top="0.393055555555556" bottom="0.196527777777778" header="0.511805555555556" footer="0.511805555555556"/>
  <pageSetup paperSize="9" scale="52" fitToHeight="0" orientation="landscape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showZeros="0" zoomScale="55" zoomScaleNormal="55" workbookViewId="0">
      <pane xSplit="1" ySplit="5" topLeftCell="B6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34.8916666666667" customWidth="1"/>
    <col min="2" max="2" width="13.1833333333333" customWidth="1"/>
    <col min="3" max="3" width="35.5916666666667" customWidth="1"/>
    <col min="4" max="4" width="13.1916666666667" customWidth="1"/>
    <col min="5" max="5" width="12.0833333333333" customWidth="1"/>
    <col min="6" max="6" width="10.75" customWidth="1"/>
    <col min="7" max="7" width="13.025" customWidth="1"/>
    <col min="8" max="8" width="13.1916666666667" customWidth="1"/>
    <col min="9" max="9" width="12.25" customWidth="1"/>
    <col min="10" max="10" width="12.9166666666667" customWidth="1"/>
    <col min="11" max="11" width="13.1666666666667" customWidth="1"/>
    <col min="12" max="12" width="10.5916666666667" customWidth="1"/>
    <col min="13" max="13" width="11.25" customWidth="1"/>
    <col min="14" max="14" width="12.5" customWidth="1"/>
    <col min="15" max="15" width="12.15" customWidth="1"/>
    <col min="16" max="16" width="10.75" customWidth="1"/>
  </cols>
  <sheetData>
    <row r="1" ht="38" customHeight="1" spans="1:16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8" customHeight="1" spans="1:16">
      <c r="A2" s="2" t="s">
        <v>118</v>
      </c>
      <c r="B2" s="3"/>
      <c r="C2" s="4" t="s">
        <v>206</v>
      </c>
      <c r="D2" s="4"/>
      <c r="E2" s="4"/>
      <c r="F2" s="4"/>
      <c r="G2" s="4"/>
      <c r="H2" s="4"/>
      <c r="I2" s="4"/>
      <c r="J2" s="4"/>
      <c r="K2" s="4"/>
      <c r="L2" s="16"/>
      <c r="M2" s="16"/>
      <c r="N2" s="16"/>
      <c r="O2" s="17" t="s">
        <v>3</v>
      </c>
      <c r="P2" s="17"/>
    </row>
    <row r="3" ht="23" customHeight="1" spans="1:16">
      <c r="A3" s="174" t="s">
        <v>134</v>
      </c>
      <c r="B3" s="174" t="s">
        <v>135</v>
      </c>
      <c r="C3" s="174" t="s">
        <v>62</v>
      </c>
      <c r="D3" s="175" t="s">
        <v>136</v>
      </c>
      <c r="E3" s="175" t="s">
        <v>137</v>
      </c>
      <c r="F3" s="175" t="s">
        <v>7</v>
      </c>
      <c r="G3" s="174" t="s">
        <v>65</v>
      </c>
      <c r="H3" s="174"/>
      <c r="I3" s="174"/>
      <c r="J3" s="174"/>
      <c r="K3" s="174"/>
      <c r="L3" s="174"/>
      <c r="M3" s="174"/>
      <c r="N3" s="174"/>
      <c r="O3" s="174"/>
      <c r="P3" s="174"/>
    </row>
    <row r="4" ht="23" customHeight="1" spans="1:16">
      <c r="A4" s="174"/>
      <c r="B4" s="174"/>
      <c r="C4" s="174"/>
      <c r="D4" s="175"/>
      <c r="E4" s="175"/>
      <c r="F4" s="175"/>
      <c r="G4" s="174" t="s">
        <v>138</v>
      </c>
      <c r="H4" s="174" t="s">
        <v>139</v>
      </c>
      <c r="I4" s="174"/>
      <c r="J4" s="174"/>
      <c r="K4" s="174"/>
      <c r="L4" s="174"/>
      <c r="M4" s="174"/>
      <c r="N4" s="174"/>
      <c r="O4" s="181" t="s">
        <v>140</v>
      </c>
      <c r="P4" s="174" t="s">
        <v>141</v>
      </c>
    </row>
    <row r="5" ht="23" customHeight="1" spans="1:16">
      <c r="A5" s="174"/>
      <c r="B5" s="174"/>
      <c r="C5" s="174"/>
      <c r="D5" s="175"/>
      <c r="E5" s="175"/>
      <c r="F5" s="175"/>
      <c r="G5" s="174"/>
      <c r="H5" s="174" t="s">
        <v>66</v>
      </c>
      <c r="I5" s="174" t="s">
        <v>142</v>
      </c>
      <c r="J5" s="174" t="s">
        <v>143</v>
      </c>
      <c r="K5" s="174" t="s">
        <v>144</v>
      </c>
      <c r="L5" s="175" t="s">
        <v>69</v>
      </c>
      <c r="M5" s="175" t="s">
        <v>145</v>
      </c>
      <c r="N5" s="174" t="s">
        <v>131</v>
      </c>
      <c r="O5" s="181"/>
      <c r="P5" s="174"/>
    </row>
    <row r="6" ht="42" customHeight="1" spans="1:16">
      <c r="A6" s="203" t="s">
        <v>93</v>
      </c>
      <c r="B6" s="204">
        <f t="shared" ref="B6:G6" si="0">B7+B19+B23+B29</f>
        <v>22022.5</v>
      </c>
      <c r="C6" s="204">
        <f t="shared" si="0"/>
        <v>0</v>
      </c>
      <c r="D6" s="179">
        <f t="shared" si="0"/>
        <v>16593.53</v>
      </c>
      <c r="E6" s="179">
        <f t="shared" si="0"/>
        <v>5428.97</v>
      </c>
      <c r="F6" s="178">
        <f t="shared" ref="F6:F17" si="1">D6/B6*100</f>
        <v>75.3480758315359</v>
      </c>
      <c r="G6" s="179">
        <f>G7+G19+G23+G29</f>
        <v>16593.53388</v>
      </c>
      <c r="H6" s="179">
        <f t="shared" ref="H6:H17" si="2">SUM(I6:N6)</f>
        <v>14484.13288</v>
      </c>
      <c r="I6" s="179">
        <f t="shared" ref="I6:P6" si="3">SUM(I7,I19,I23,I29)</f>
        <v>4630.9</v>
      </c>
      <c r="J6" s="179">
        <f t="shared" si="3"/>
        <v>6503</v>
      </c>
      <c r="K6" s="179">
        <f t="shared" si="3"/>
        <v>1838.5</v>
      </c>
      <c r="L6" s="179">
        <f t="shared" si="3"/>
        <v>191.7</v>
      </c>
      <c r="M6" s="179">
        <f t="shared" si="3"/>
        <v>520</v>
      </c>
      <c r="N6" s="179">
        <f t="shared" si="3"/>
        <v>800.03288</v>
      </c>
      <c r="O6" s="179">
        <f t="shared" si="3"/>
        <v>2093.16</v>
      </c>
      <c r="P6" s="179">
        <f t="shared" si="3"/>
        <v>16.241</v>
      </c>
    </row>
    <row r="7" ht="42" customHeight="1" spans="1:16">
      <c r="A7" s="185" t="s">
        <v>180</v>
      </c>
      <c r="B7" s="186">
        <f>B8+B15+B18</f>
        <v>11910</v>
      </c>
      <c r="C7" s="186"/>
      <c r="D7" s="186">
        <f>D8+D15+D18</f>
        <v>8960.87</v>
      </c>
      <c r="E7" s="186">
        <f>E8+E15+E18</f>
        <v>2949.13</v>
      </c>
      <c r="F7" s="13">
        <f t="shared" si="1"/>
        <v>75.2382031905961</v>
      </c>
      <c r="G7" s="14">
        <f>SUM(G8,G15,G18)</f>
        <v>8960.87388</v>
      </c>
      <c r="H7" s="14">
        <f t="shared" si="2"/>
        <v>8776.63288</v>
      </c>
      <c r="I7" s="14">
        <f>SUM(I8,I18)</f>
        <v>4615.9</v>
      </c>
      <c r="J7" s="14">
        <f t="shared" ref="J7:P7" si="4">SUM(J8,J18)</f>
        <v>2669</v>
      </c>
      <c r="K7" s="14">
        <f>K8+K15+K18</f>
        <v>500</v>
      </c>
      <c r="L7" s="14">
        <f t="shared" si="4"/>
        <v>191.7</v>
      </c>
      <c r="M7" s="14">
        <f t="shared" si="4"/>
        <v>0</v>
      </c>
      <c r="N7" s="14">
        <f t="shared" si="4"/>
        <v>800.03288</v>
      </c>
      <c r="O7" s="14">
        <f t="shared" si="4"/>
        <v>168</v>
      </c>
      <c r="P7" s="14">
        <f t="shared" si="4"/>
        <v>16.241</v>
      </c>
    </row>
    <row r="8" ht="42" customHeight="1" spans="1:16">
      <c r="A8" s="180" t="s">
        <v>181</v>
      </c>
      <c r="B8" s="186">
        <f t="shared" ref="B8:G8" si="5">SUM(B9:B14)</f>
        <v>11036</v>
      </c>
      <c r="C8" s="187"/>
      <c r="D8" s="14">
        <f t="shared" si="5"/>
        <v>8460.87</v>
      </c>
      <c r="E8" s="14">
        <f t="shared" si="5"/>
        <v>2575.13</v>
      </c>
      <c r="F8" s="13">
        <f t="shared" si="1"/>
        <v>76.6660927872418</v>
      </c>
      <c r="G8" s="14">
        <f t="shared" si="5"/>
        <v>8460.87388</v>
      </c>
      <c r="H8" s="14">
        <f t="shared" si="2"/>
        <v>8276.63288</v>
      </c>
      <c r="I8" s="14">
        <f>SUM(I9:I14)</f>
        <v>4615.9</v>
      </c>
      <c r="J8" s="14">
        <f t="shared" ref="I8:P8" si="6">SUM(J9:J14)</f>
        <v>2669</v>
      </c>
      <c r="K8" s="14">
        <f t="shared" si="6"/>
        <v>0</v>
      </c>
      <c r="L8" s="14">
        <f t="shared" si="6"/>
        <v>191.7</v>
      </c>
      <c r="M8" s="14">
        <f t="shared" si="6"/>
        <v>0</v>
      </c>
      <c r="N8" s="14">
        <f t="shared" si="6"/>
        <v>800.03288</v>
      </c>
      <c r="O8" s="14">
        <f t="shared" si="6"/>
        <v>168</v>
      </c>
      <c r="P8" s="14">
        <f t="shared" si="6"/>
        <v>16.241</v>
      </c>
    </row>
    <row r="9" ht="42" customHeight="1" spans="1:16">
      <c r="A9" s="10" t="s">
        <v>148</v>
      </c>
      <c r="B9" s="11">
        <v>168</v>
      </c>
      <c r="C9" s="15" t="s">
        <v>149</v>
      </c>
      <c r="D9" s="13">
        <v>168</v>
      </c>
      <c r="E9" s="13">
        <f t="shared" ref="E9:E23" si="7">B9-D9</f>
        <v>0</v>
      </c>
      <c r="F9" s="13">
        <f t="shared" si="1"/>
        <v>100</v>
      </c>
      <c r="G9" s="13">
        <f t="shared" ref="G9:G23" si="8">SUM(I9:P9)</f>
        <v>168</v>
      </c>
      <c r="H9" s="14">
        <f t="shared" si="2"/>
        <v>0</v>
      </c>
      <c r="I9" s="13"/>
      <c r="J9" s="13"/>
      <c r="K9" s="13"/>
      <c r="L9" s="196"/>
      <c r="M9" s="196"/>
      <c r="N9" s="196"/>
      <c r="O9" s="13">
        <v>168</v>
      </c>
      <c r="P9" s="13"/>
    </row>
    <row r="10" ht="42" customHeight="1" spans="1:16">
      <c r="A10" s="10" t="s">
        <v>150</v>
      </c>
      <c r="B10" s="11">
        <v>4631</v>
      </c>
      <c r="C10" s="39" t="s">
        <v>151</v>
      </c>
      <c r="D10" s="13">
        <v>4615.9</v>
      </c>
      <c r="E10" s="13">
        <f t="shared" si="7"/>
        <v>15.1000000000004</v>
      </c>
      <c r="F10" s="13">
        <f t="shared" si="1"/>
        <v>99.6739365147916</v>
      </c>
      <c r="G10" s="13">
        <f t="shared" si="8"/>
        <v>4615.9</v>
      </c>
      <c r="H10" s="14">
        <f t="shared" si="2"/>
        <v>4615.9</v>
      </c>
      <c r="I10" s="13">
        <v>4615.9</v>
      </c>
      <c r="J10" s="13"/>
      <c r="K10" s="13"/>
      <c r="L10" s="13"/>
      <c r="M10" s="13"/>
      <c r="N10" s="13"/>
      <c r="O10" s="13"/>
      <c r="P10" s="13"/>
    </row>
    <row r="11" ht="42" customHeight="1" spans="1:16">
      <c r="A11" s="10" t="s">
        <v>152</v>
      </c>
      <c r="B11" s="11">
        <v>2058</v>
      </c>
      <c r="C11" s="15" t="s">
        <v>153</v>
      </c>
      <c r="D11" s="13"/>
      <c r="E11" s="13">
        <f t="shared" si="7"/>
        <v>2058</v>
      </c>
      <c r="F11" s="13">
        <f t="shared" si="1"/>
        <v>0</v>
      </c>
      <c r="G11" s="13">
        <f t="shared" si="8"/>
        <v>0</v>
      </c>
      <c r="H11" s="14">
        <f t="shared" si="2"/>
        <v>0</v>
      </c>
      <c r="I11" s="13"/>
      <c r="J11" s="13"/>
      <c r="K11" s="13"/>
      <c r="L11" s="13"/>
      <c r="M11" s="13"/>
      <c r="N11" s="13"/>
      <c r="O11" s="13"/>
      <c r="P11" s="13"/>
    </row>
    <row r="12" ht="42" customHeight="1" spans="1:16">
      <c r="A12" s="10" t="s">
        <v>154</v>
      </c>
      <c r="B12" s="11">
        <v>567</v>
      </c>
      <c r="C12" s="15" t="s">
        <v>155</v>
      </c>
      <c r="D12" s="13">
        <v>567</v>
      </c>
      <c r="E12" s="13">
        <f t="shared" si="7"/>
        <v>0</v>
      </c>
      <c r="F12" s="13">
        <f t="shared" si="1"/>
        <v>100</v>
      </c>
      <c r="G12" s="13">
        <f t="shared" si="8"/>
        <v>567</v>
      </c>
      <c r="H12" s="14">
        <f t="shared" si="2"/>
        <v>567</v>
      </c>
      <c r="I12" s="196"/>
      <c r="J12" s="13"/>
      <c r="K12" s="13"/>
      <c r="L12" s="13"/>
      <c r="M12" s="13"/>
      <c r="N12" s="13">
        <v>567</v>
      </c>
      <c r="O12" s="13"/>
      <c r="P12" s="13"/>
    </row>
    <row r="13" ht="42" customHeight="1" spans="1:16">
      <c r="A13" s="10" t="s">
        <v>36</v>
      </c>
      <c r="B13" s="11">
        <f>176+380</f>
        <v>556</v>
      </c>
      <c r="C13" s="39" t="s">
        <v>156</v>
      </c>
      <c r="D13" s="13">
        <v>249.59</v>
      </c>
      <c r="E13" s="13">
        <f t="shared" si="7"/>
        <v>306.41</v>
      </c>
      <c r="F13" s="13">
        <f t="shared" si="1"/>
        <v>44.8902877697842</v>
      </c>
      <c r="G13" s="13">
        <f t="shared" si="8"/>
        <v>249.59388</v>
      </c>
      <c r="H13" s="14">
        <f t="shared" si="2"/>
        <v>233.35288</v>
      </c>
      <c r="I13" s="13"/>
      <c r="J13" s="13"/>
      <c r="K13" s="13"/>
      <c r="L13" s="13">
        <v>191.7</v>
      </c>
      <c r="M13" s="13"/>
      <c r="N13" s="13">
        <v>41.65288</v>
      </c>
      <c r="O13" s="13"/>
      <c r="P13" s="13">
        <v>16.241</v>
      </c>
    </row>
    <row r="14" ht="42" customHeight="1" spans="1:16">
      <c r="A14" s="10" t="s">
        <v>33</v>
      </c>
      <c r="B14" s="11">
        <f>387+2669</f>
        <v>3056</v>
      </c>
      <c r="C14" s="15" t="s">
        <v>157</v>
      </c>
      <c r="D14" s="13">
        <v>2860.38</v>
      </c>
      <c r="E14" s="13">
        <f t="shared" si="7"/>
        <v>195.62</v>
      </c>
      <c r="F14" s="13">
        <f t="shared" si="1"/>
        <v>93.5988219895288</v>
      </c>
      <c r="G14" s="13">
        <f t="shared" si="8"/>
        <v>2860.38</v>
      </c>
      <c r="H14" s="14">
        <f t="shared" si="2"/>
        <v>2860.38</v>
      </c>
      <c r="I14" s="13"/>
      <c r="J14" s="13">
        <v>2669</v>
      </c>
      <c r="K14" s="13"/>
      <c r="L14" s="13"/>
      <c r="M14" s="13"/>
      <c r="N14" s="13">
        <v>191.38</v>
      </c>
      <c r="O14" s="13"/>
      <c r="P14" s="13"/>
    </row>
    <row r="15" ht="42" customHeight="1" spans="1:16">
      <c r="A15" s="180" t="s">
        <v>182</v>
      </c>
      <c r="B15" s="11">
        <f>B16+B17</f>
        <v>824</v>
      </c>
      <c r="C15" s="15"/>
      <c r="D15" s="13">
        <v>500</v>
      </c>
      <c r="E15" s="13">
        <f t="shared" si="7"/>
        <v>324</v>
      </c>
      <c r="F15" s="13">
        <f t="shared" si="1"/>
        <v>60.6796116504854</v>
      </c>
      <c r="G15" s="13">
        <f t="shared" si="8"/>
        <v>500</v>
      </c>
      <c r="H15" s="14">
        <f t="shared" si="2"/>
        <v>500</v>
      </c>
      <c r="I15" s="13"/>
      <c r="J15" s="13"/>
      <c r="K15" s="13">
        <v>500</v>
      </c>
      <c r="L15" s="13"/>
      <c r="M15" s="13"/>
      <c r="N15" s="13"/>
      <c r="O15" s="13"/>
      <c r="P15" s="13"/>
    </row>
    <row r="16" ht="42" customHeight="1" spans="1:16">
      <c r="A16" s="10" t="s">
        <v>150</v>
      </c>
      <c r="B16" s="11">
        <v>500</v>
      </c>
      <c r="C16" s="15" t="s">
        <v>164</v>
      </c>
      <c r="D16" s="13">
        <v>500</v>
      </c>
      <c r="E16" s="13">
        <f t="shared" si="7"/>
        <v>0</v>
      </c>
      <c r="F16" s="13">
        <f t="shared" si="1"/>
        <v>100</v>
      </c>
      <c r="G16" s="13">
        <f t="shared" si="8"/>
        <v>500</v>
      </c>
      <c r="H16" s="14">
        <f t="shared" si="2"/>
        <v>500</v>
      </c>
      <c r="I16" s="13"/>
      <c r="J16" s="13"/>
      <c r="K16" s="13">
        <v>500</v>
      </c>
      <c r="L16" s="13"/>
      <c r="M16" s="13"/>
      <c r="N16" s="13"/>
      <c r="O16" s="13"/>
      <c r="P16" s="13"/>
    </row>
    <row r="17" ht="42" customHeight="1" spans="1:16">
      <c r="A17" s="10" t="s">
        <v>152</v>
      </c>
      <c r="B17" s="11">
        <v>324</v>
      </c>
      <c r="C17" s="15" t="s">
        <v>155</v>
      </c>
      <c r="D17" s="13"/>
      <c r="E17" s="13">
        <f t="shared" si="7"/>
        <v>324</v>
      </c>
      <c r="F17" s="13">
        <f t="shared" si="1"/>
        <v>0</v>
      </c>
      <c r="G17" s="13">
        <f t="shared" si="8"/>
        <v>0</v>
      </c>
      <c r="H17" s="14">
        <f t="shared" si="2"/>
        <v>0</v>
      </c>
      <c r="I17" s="13"/>
      <c r="J17" s="13"/>
      <c r="K17" s="13"/>
      <c r="L17" s="13"/>
      <c r="M17" s="13"/>
      <c r="N17" s="13"/>
      <c r="O17" s="13"/>
      <c r="P17" s="13"/>
    </row>
    <row r="18" ht="42" customHeight="1" spans="1:16">
      <c r="A18" s="180" t="s">
        <v>207</v>
      </c>
      <c r="B18" s="11">
        <v>50</v>
      </c>
      <c r="C18" s="15" t="s">
        <v>161</v>
      </c>
      <c r="D18" s="13">
        <v>0</v>
      </c>
      <c r="E18" s="13">
        <f t="shared" si="7"/>
        <v>50</v>
      </c>
      <c r="F18" s="13">
        <f t="shared" ref="F18:F47" si="9">D18/B18*100</f>
        <v>0</v>
      </c>
      <c r="G18" s="13">
        <f t="shared" si="8"/>
        <v>0</v>
      </c>
      <c r="H18" s="14">
        <f t="shared" ref="H18:H46" si="10">SUM(I18:N18)</f>
        <v>0</v>
      </c>
      <c r="I18" s="13"/>
      <c r="J18" s="13"/>
      <c r="K18" s="13"/>
      <c r="L18" s="13"/>
      <c r="M18" s="13"/>
      <c r="N18" s="13"/>
      <c r="O18" s="13"/>
      <c r="P18" s="13">
        <v>0</v>
      </c>
    </row>
    <row r="19" ht="42" customHeight="1" spans="1:16">
      <c r="A19" s="185" t="s">
        <v>185</v>
      </c>
      <c r="B19" s="11">
        <f>B20+B21+B22</f>
        <v>4255</v>
      </c>
      <c r="C19" s="15"/>
      <c r="D19" s="13">
        <f>D20+D21+D22</f>
        <v>3279.53</v>
      </c>
      <c r="E19" s="13">
        <f t="shared" si="7"/>
        <v>975.47</v>
      </c>
      <c r="F19" s="13">
        <f t="shared" si="9"/>
        <v>77.0747356051704</v>
      </c>
      <c r="G19" s="13">
        <f t="shared" si="8"/>
        <v>3279.53</v>
      </c>
      <c r="H19" s="14">
        <f t="shared" si="10"/>
        <v>2855</v>
      </c>
      <c r="I19" s="13">
        <f t="shared" ref="I19:P19" si="11">I20+I21+I22</f>
        <v>0</v>
      </c>
      <c r="J19" s="13">
        <f t="shared" si="11"/>
        <v>2855</v>
      </c>
      <c r="K19" s="13">
        <f t="shared" si="11"/>
        <v>0</v>
      </c>
      <c r="L19" s="13">
        <f t="shared" si="11"/>
        <v>0</v>
      </c>
      <c r="M19" s="13">
        <f t="shared" si="11"/>
        <v>0</v>
      </c>
      <c r="N19" s="13">
        <f t="shared" si="11"/>
        <v>0</v>
      </c>
      <c r="O19" s="13">
        <f t="shared" si="11"/>
        <v>424.53</v>
      </c>
      <c r="P19" s="13">
        <f t="shared" si="11"/>
        <v>0</v>
      </c>
    </row>
    <row r="20" ht="42" customHeight="1" spans="1:16">
      <c r="A20" s="10" t="s">
        <v>148</v>
      </c>
      <c r="B20" s="11">
        <v>1329</v>
      </c>
      <c r="C20" s="15" t="s">
        <v>174</v>
      </c>
      <c r="D20" s="13">
        <v>424.53</v>
      </c>
      <c r="E20" s="13">
        <f t="shared" si="7"/>
        <v>904.47</v>
      </c>
      <c r="F20" s="13">
        <f t="shared" si="9"/>
        <v>31.9435665914221</v>
      </c>
      <c r="G20" s="13">
        <f t="shared" si="8"/>
        <v>424.53</v>
      </c>
      <c r="H20" s="14">
        <f t="shared" si="10"/>
        <v>0</v>
      </c>
      <c r="I20" s="13"/>
      <c r="J20" s="13"/>
      <c r="K20" s="13"/>
      <c r="L20" s="13"/>
      <c r="M20" s="13"/>
      <c r="N20" s="13"/>
      <c r="O20" s="13">
        <v>424.53</v>
      </c>
      <c r="P20" s="13"/>
    </row>
    <row r="21" ht="42" customHeight="1" spans="1:16">
      <c r="A21" s="10" t="s">
        <v>150</v>
      </c>
      <c r="B21" s="11">
        <v>2855</v>
      </c>
      <c r="C21" s="15" t="s">
        <v>175</v>
      </c>
      <c r="D21" s="13">
        <v>2855</v>
      </c>
      <c r="E21" s="13">
        <f t="shared" si="7"/>
        <v>0</v>
      </c>
      <c r="F21" s="13">
        <f t="shared" si="9"/>
        <v>100</v>
      </c>
      <c r="G21" s="13">
        <f t="shared" si="8"/>
        <v>2855</v>
      </c>
      <c r="H21" s="14">
        <f t="shared" si="10"/>
        <v>2855</v>
      </c>
      <c r="I21" s="13"/>
      <c r="J21" s="13">
        <v>2855</v>
      </c>
      <c r="K21" s="13"/>
      <c r="L21" s="13"/>
      <c r="M21" s="13"/>
      <c r="N21" s="13"/>
      <c r="O21" s="13"/>
      <c r="P21" s="13"/>
    </row>
    <row r="22" ht="42" customHeight="1" spans="1:16">
      <c r="A22" s="10" t="s">
        <v>152</v>
      </c>
      <c r="B22" s="11">
        <v>71</v>
      </c>
      <c r="C22" s="15" t="s">
        <v>155</v>
      </c>
      <c r="D22" s="13"/>
      <c r="E22" s="13">
        <f t="shared" si="7"/>
        <v>71</v>
      </c>
      <c r="F22" s="13">
        <f t="shared" si="9"/>
        <v>0</v>
      </c>
      <c r="G22" s="13">
        <f t="shared" si="8"/>
        <v>0</v>
      </c>
      <c r="H22" s="14">
        <f t="shared" si="10"/>
        <v>0</v>
      </c>
      <c r="I22" s="13"/>
      <c r="J22" s="13"/>
      <c r="K22" s="13"/>
      <c r="L22" s="13"/>
      <c r="M22" s="13"/>
      <c r="N22" s="13"/>
      <c r="O22" s="13"/>
      <c r="P22" s="13"/>
    </row>
    <row r="23" ht="42" customHeight="1" spans="1:16">
      <c r="A23" s="188" t="s">
        <v>186</v>
      </c>
      <c r="B23" s="11">
        <f t="shared" ref="B23:G23" si="12">SUM(B24:B28)</f>
        <v>2857.5</v>
      </c>
      <c r="C23" s="189"/>
      <c r="D23" s="13">
        <f t="shared" si="12"/>
        <v>2837.5</v>
      </c>
      <c r="E23" s="13">
        <f t="shared" si="12"/>
        <v>20</v>
      </c>
      <c r="F23" s="13">
        <f t="shared" si="9"/>
        <v>99.3000874890639</v>
      </c>
      <c r="G23" s="13">
        <f t="shared" si="12"/>
        <v>2837.5</v>
      </c>
      <c r="H23" s="14">
        <f t="shared" si="10"/>
        <v>2837.5</v>
      </c>
      <c r="I23" s="13">
        <f t="shared" ref="I23:P23" si="13">SUM(I24:I28)</f>
        <v>0</v>
      </c>
      <c r="J23" s="13">
        <f t="shared" si="13"/>
        <v>979</v>
      </c>
      <c r="K23" s="13">
        <f t="shared" si="13"/>
        <v>1338.5</v>
      </c>
      <c r="L23" s="13">
        <f t="shared" si="13"/>
        <v>0</v>
      </c>
      <c r="M23" s="13">
        <f t="shared" si="13"/>
        <v>520</v>
      </c>
      <c r="N23" s="13">
        <f t="shared" si="13"/>
        <v>0</v>
      </c>
      <c r="O23" s="13">
        <f t="shared" si="13"/>
        <v>0</v>
      </c>
      <c r="P23" s="13">
        <f t="shared" si="13"/>
        <v>0</v>
      </c>
    </row>
    <row r="24" ht="42" customHeight="1" spans="1:16">
      <c r="A24" s="10" t="s">
        <v>33</v>
      </c>
      <c r="B24" s="11">
        <v>204</v>
      </c>
      <c r="C24" s="15" t="s">
        <v>143</v>
      </c>
      <c r="D24" s="13">
        <v>204</v>
      </c>
      <c r="E24" s="13">
        <f t="shared" ref="E24:E28" si="14">B24-D24</f>
        <v>0</v>
      </c>
      <c r="F24" s="13">
        <f t="shared" si="9"/>
        <v>100</v>
      </c>
      <c r="G24" s="14">
        <f t="shared" ref="G24:G28" si="15">H24+O24+P24</f>
        <v>204</v>
      </c>
      <c r="H24" s="14">
        <f t="shared" si="10"/>
        <v>204</v>
      </c>
      <c r="I24" s="13"/>
      <c r="J24" s="13">
        <v>204</v>
      </c>
      <c r="K24" s="13"/>
      <c r="L24" s="13"/>
      <c r="M24" s="13"/>
      <c r="N24" s="13"/>
      <c r="O24" s="13"/>
      <c r="P24" s="13"/>
    </row>
    <row r="25" ht="42" customHeight="1" spans="1:16">
      <c r="A25" s="10" t="s">
        <v>150</v>
      </c>
      <c r="B25" s="11">
        <v>775</v>
      </c>
      <c r="C25" s="15" t="s">
        <v>143</v>
      </c>
      <c r="D25" s="13">
        <v>775</v>
      </c>
      <c r="E25" s="13">
        <f t="shared" si="14"/>
        <v>0</v>
      </c>
      <c r="F25" s="13">
        <f t="shared" si="9"/>
        <v>100</v>
      </c>
      <c r="G25" s="14">
        <f t="shared" si="15"/>
        <v>775</v>
      </c>
      <c r="H25" s="14">
        <f t="shared" si="10"/>
        <v>775</v>
      </c>
      <c r="I25" s="13"/>
      <c r="J25" s="13">
        <v>775</v>
      </c>
      <c r="K25" s="13"/>
      <c r="L25" s="13"/>
      <c r="M25" s="13"/>
      <c r="N25" s="13"/>
      <c r="O25" s="13"/>
      <c r="P25" s="13"/>
    </row>
    <row r="26" ht="42" customHeight="1" spans="1:16">
      <c r="A26" s="10" t="s">
        <v>37</v>
      </c>
      <c r="B26" s="11">
        <v>520</v>
      </c>
      <c r="C26" s="15" t="s">
        <v>163</v>
      </c>
      <c r="D26" s="13">
        <v>520</v>
      </c>
      <c r="E26" s="13">
        <f t="shared" si="14"/>
        <v>0</v>
      </c>
      <c r="F26" s="13">
        <f t="shared" si="9"/>
        <v>100</v>
      </c>
      <c r="G26" s="14">
        <f t="shared" si="15"/>
        <v>520</v>
      </c>
      <c r="H26" s="14">
        <f t="shared" si="10"/>
        <v>520</v>
      </c>
      <c r="I26" s="13"/>
      <c r="J26" s="13"/>
      <c r="K26" s="13"/>
      <c r="L26" s="13"/>
      <c r="M26" s="13">
        <v>520</v>
      </c>
      <c r="N26" s="13"/>
      <c r="O26" s="13"/>
      <c r="P26" s="13"/>
    </row>
    <row r="27" ht="42" customHeight="1" spans="1:16">
      <c r="A27" s="10" t="s">
        <v>150</v>
      </c>
      <c r="B27" s="11">
        <v>1338.5</v>
      </c>
      <c r="C27" s="15" t="s">
        <v>164</v>
      </c>
      <c r="D27" s="13">
        <v>1338.5</v>
      </c>
      <c r="E27" s="13">
        <f t="shared" si="14"/>
        <v>0</v>
      </c>
      <c r="F27" s="13">
        <f t="shared" si="9"/>
        <v>100</v>
      </c>
      <c r="G27" s="14">
        <f t="shared" si="15"/>
        <v>1338.5</v>
      </c>
      <c r="H27" s="14">
        <f t="shared" si="10"/>
        <v>1338.5</v>
      </c>
      <c r="I27" s="13"/>
      <c r="J27" s="13"/>
      <c r="K27" s="13">
        <v>1338.5</v>
      </c>
      <c r="L27" s="13"/>
      <c r="M27" s="13"/>
      <c r="N27" s="13"/>
      <c r="O27" s="13"/>
      <c r="P27" s="13"/>
    </row>
    <row r="28" ht="42" customHeight="1" spans="1:16">
      <c r="A28" s="10" t="s">
        <v>150</v>
      </c>
      <c r="B28" s="11">
        <v>20</v>
      </c>
      <c r="C28" s="15" t="s">
        <v>187</v>
      </c>
      <c r="D28" s="13"/>
      <c r="E28" s="13">
        <f t="shared" si="14"/>
        <v>20</v>
      </c>
      <c r="F28" s="13">
        <f t="shared" si="9"/>
        <v>0</v>
      </c>
      <c r="G28" s="14">
        <f t="shared" si="15"/>
        <v>0</v>
      </c>
      <c r="H28" s="14">
        <f t="shared" si="10"/>
        <v>0</v>
      </c>
      <c r="I28" s="13"/>
      <c r="J28" s="13"/>
      <c r="K28" s="13"/>
      <c r="L28" s="13"/>
      <c r="M28" s="13"/>
      <c r="N28" s="13"/>
      <c r="O28" s="13"/>
      <c r="P28" s="85"/>
    </row>
    <row r="29" ht="42" customHeight="1" spans="1:16">
      <c r="A29" s="185" t="s">
        <v>188</v>
      </c>
      <c r="B29" s="11">
        <f t="shared" ref="B29:G29" si="16">B30+B31+B32+B33</f>
        <v>3000</v>
      </c>
      <c r="C29" s="15"/>
      <c r="D29" s="13">
        <f t="shared" si="16"/>
        <v>1515.63</v>
      </c>
      <c r="E29" s="13">
        <f t="shared" si="16"/>
        <v>1484.37</v>
      </c>
      <c r="F29" s="13">
        <f t="shared" si="9"/>
        <v>50.521</v>
      </c>
      <c r="G29" s="13">
        <f t="shared" si="16"/>
        <v>1515.63</v>
      </c>
      <c r="H29" s="14">
        <f t="shared" si="10"/>
        <v>15</v>
      </c>
      <c r="I29" s="13">
        <f t="shared" ref="I29:O29" si="17">I30+I31+I32+I33</f>
        <v>15</v>
      </c>
      <c r="J29" s="13">
        <f t="shared" si="17"/>
        <v>0</v>
      </c>
      <c r="K29" s="13">
        <f t="shared" si="17"/>
        <v>0</v>
      </c>
      <c r="L29" s="13">
        <f t="shared" si="17"/>
        <v>0</v>
      </c>
      <c r="M29" s="13">
        <f t="shared" si="17"/>
        <v>0</v>
      </c>
      <c r="N29" s="13">
        <f t="shared" si="17"/>
        <v>0</v>
      </c>
      <c r="O29" s="13">
        <f t="shared" si="17"/>
        <v>1500.63</v>
      </c>
      <c r="P29" s="13"/>
    </row>
    <row r="30" ht="42" customHeight="1" spans="1:16">
      <c r="A30" s="10" t="s">
        <v>150</v>
      </c>
      <c r="B30" s="11">
        <v>20</v>
      </c>
      <c r="C30" s="15" t="s">
        <v>176</v>
      </c>
      <c r="D30" s="13">
        <v>15</v>
      </c>
      <c r="E30" s="13">
        <f t="shared" ref="E30:E33" si="18">B30-D30</f>
        <v>5</v>
      </c>
      <c r="F30" s="13">
        <f t="shared" si="9"/>
        <v>75</v>
      </c>
      <c r="G30" s="14">
        <f t="shared" ref="G30:G33" si="19">H30+O30+P30</f>
        <v>15</v>
      </c>
      <c r="H30" s="14">
        <f t="shared" si="10"/>
        <v>15</v>
      </c>
      <c r="I30" s="13">
        <v>15</v>
      </c>
      <c r="J30" s="13"/>
      <c r="K30" s="13"/>
      <c r="L30" s="13"/>
      <c r="M30" s="13"/>
      <c r="N30" s="13"/>
      <c r="O30" s="13"/>
      <c r="P30" s="13"/>
    </row>
    <row r="31" ht="42" customHeight="1" spans="1:16">
      <c r="A31" s="10" t="s">
        <v>35</v>
      </c>
      <c r="B31" s="11">
        <v>1000</v>
      </c>
      <c r="C31" s="15" t="s">
        <v>177</v>
      </c>
      <c r="D31" s="13"/>
      <c r="E31" s="13">
        <f t="shared" si="18"/>
        <v>1000</v>
      </c>
      <c r="F31" s="13">
        <f t="shared" si="9"/>
        <v>0</v>
      </c>
      <c r="G31" s="14">
        <f t="shared" si="19"/>
        <v>0</v>
      </c>
      <c r="H31" s="14">
        <f t="shared" si="10"/>
        <v>0</v>
      </c>
      <c r="I31" s="13"/>
      <c r="J31" s="13"/>
      <c r="K31" s="13"/>
      <c r="L31" s="13"/>
      <c r="M31" s="13"/>
      <c r="N31" s="13"/>
      <c r="O31" s="13"/>
      <c r="P31" s="13"/>
    </row>
    <row r="32" ht="42" customHeight="1" spans="1:16">
      <c r="A32" s="10" t="s">
        <v>148</v>
      </c>
      <c r="B32" s="11">
        <v>1680</v>
      </c>
      <c r="C32" s="15" t="s">
        <v>174</v>
      </c>
      <c r="D32" s="13">
        <v>1500.63</v>
      </c>
      <c r="E32" s="13">
        <f t="shared" si="18"/>
        <v>179.37</v>
      </c>
      <c r="F32" s="13">
        <f t="shared" si="9"/>
        <v>89.3232142857143</v>
      </c>
      <c r="G32" s="14">
        <f t="shared" si="19"/>
        <v>1500.63</v>
      </c>
      <c r="H32" s="14">
        <f t="shared" si="10"/>
        <v>0</v>
      </c>
      <c r="I32" s="13"/>
      <c r="J32" s="13"/>
      <c r="K32" s="13"/>
      <c r="L32" s="13"/>
      <c r="M32" s="13"/>
      <c r="N32" s="13"/>
      <c r="O32" s="13">
        <v>1500.63</v>
      </c>
      <c r="P32" s="13"/>
    </row>
    <row r="33" ht="42" customHeight="1" spans="1:16">
      <c r="A33" s="10" t="s">
        <v>36</v>
      </c>
      <c r="B33" s="11">
        <v>300</v>
      </c>
      <c r="C33" s="15" t="s">
        <v>178</v>
      </c>
      <c r="D33" s="13"/>
      <c r="E33" s="13">
        <f t="shared" si="18"/>
        <v>300</v>
      </c>
      <c r="F33" s="13">
        <f t="shared" si="9"/>
        <v>0</v>
      </c>
      <c r="G33" s="14">
        <f t="shared" si="19"/>
        <v>0</v>
      </c>
      <c r="H33" s="14">
        <f t="shared" si="10"/>
        <v>0</v>
      </c>
      <c r="I33" s="13"/>
      <c r="J33" s="13"/>
      <c r="K33" s="13"/>
      <c r="L33" s="13"/>
      <c r="M33" s="13"/>
      <c r="N33" s="13"/>
      <c r="O33" s="13"/>
      <c r="P33" s="13"/>
    </row>
    <row r="34" ht="42" customHeight="1" spans="1:16">
      <c r="A34" s="205" t="s">
        <v>102</v>
      </c>
      <c r="B34" s="11">
        <f t="shared" ref="B34:G34" si="20">B35+B41</f>
        <v>3000</v>
      </c>
      <c r="C34" s="11">
        <f t="shared" si="20"/>
        <v>0</v>
      </c>
      <c r="D34" s="11">
        <f t="shared" si="20"/>
        <v>1605.66</v>
      </c>
      <c r="E34" s="11">
        <f t="shared" si="20"/>
        <v>1394.34</v>
      </c>
      <c r="F34" s="13">
        <f t="shared" si="9"/>
        <v>53.522</v>
      </c>
      <c r="G34" s="11">
        <f t="shared" si="20"/>
        <v>1605.66</v>
      </c>
      <c r="H34" s="14">
        <f t="shared" si="10"/>
        <v>1525.66</v>
      </c>
      <c r="I34" s="11">
        <f t="shared" ref="I34:P34" si="21">I35+I41</f>
        <v>0</v>
      </c>
      <c r="J34" s="11">
        <f t="shared" si="21"/>
        <v>901.6</v>
      </c>
      <c r="K34" s="11">
        <f t="shared" si="21"/>
        <v>340</v>
      </c>
      <c r="L34" s="11">
        <f t="shared" si="21"/>
        <v>254.06</v>
      </c>
      <c r="M34" s="11">
        <f t="shared" si="21"/>
        <v>30</v>
      </c>
      <c r="N34" s="11">
        <f t="shared" si="21"/>
        <v>0</v>
      </c>
      <c r="O34" s="11">
        <f t="shared" si="21"/>
        <v>0</v>
      </c>
      <c r="P34" s="11">
        <f t="shared" si="21"/>
        <v>80</v>
      </c>
    </row>
    <row r="35" ht="42" customHeight="1" spans="1:16">
      <c r="A35" s="180" t="s">
        <v>189</v>
      </c>
      <c r="B35" s="11">
        <f t="shared" ref="B35:G35" si="22">SUM(B36:B40)</f>
        <v>2350</v>
      </c>
      <c r="C35" s="11">
        <f t="shared" si="22"/>
        <v>0</v>
      </c>
      <c r="D35" s="11">
        <f t="shared" si="22"/>
        <v>1525.66</v>
      </c>
      <c r="E35" s="11">
        <f t="shared" si="22"/>
        <v>824.34</v>
      </c>
      <c r="F35" s="13">
        <f t="shared" si="9"/>
        <v>64.9217021276596</v>
      </c>
      <c r="G35" s="11">
        <f t="shared" si="22"/>
        <v>1525.66</v>
      </c>
      <c r="H35" s="14">
        <f t="shared" si="10"/>
        <v>1525.66</v>
      </c>
      <c r="I35" s="11">
        <f t="shared" ref="I35:P35" si="23">SUM(I36:I40)</f>
        <v>0</v>
      </c>
      <c r="J35" s="11">
        <f t="shared" si="23"/>
        <v>901.6</v>
      </c>
      <c r="K35" s="11">
        <f t="shared" si="23"/>
        <v>340</v>
      </c>
      <c r="L35" s="11">
        <f t="shared" si="23"/>
        <v>254.06</v>
      </c>
      <c r="M35" s="11">
        <f t="shared" si="23"/>
        <v>30</v>
      </c>
      <c r="N35" s="11">
        <f t="shared" si="23"/>
        <v>0</v>
      </c>
      <c r="O35" s="11">
        <f t="shared" si="23"/>
        <v>0</v>
      </c>
      <c r="P35" s="11">
        <f t="shared" si="23"/>
        <v>0</v>
      </c>
    </row>
    <row r="36" ht="42" customHeight="1" spans="1:16">
      <c r="A36" s="10" t="s">
        <v>150</v>
      </c>
      <c r="B36" s="11">
        <v>1020</v>
      </c>
      <c r="C36" s="12" t="s">
        <v>167</v>
      </c>
      <c r="D36" s="13">
        <v>901.6</v>
      </c>
      <c r="E36" s="13">
        <f t="shared" ref="E36:E46" si="24">B36-D36</f>
        <v>118.4</v>
      </c>
      <c r="F36" s="13">
        <f t="shared" si="9"/>
        <v>88.3921568627451</v>
      </c>
      <c r="G36" s="14">
        <f t="shared" ref="G36:G46" si="25">H36+O36+P36</f>
        <v>901.6</v>
      </c>
      <c r="H36" s="14">
        <f t="shared" si="10"/>
        <v>901.6</v>
      </c>
      <c r="I36" s="13">
        <v>0</v>
      </c>
      <c r="J36" s="13">
        <v>901.6</v>
      </c>
      <c r="K36" s="13"/>
      <c r="L36" s="13"/>
      <c r="M36" s="13"/>
      <c r="N36" s="13"/>
      <c r="O36" s="13"/>
      <c r="P36" s="13"/>
    </row>
    <row r="37" ht="42" customHeight="1" spans="1:16">
      <c r="A37" s="10" t="s">
        <v>37</v>
      </c>
      <c r="B37" s="11">
        <v>100</v>
      </c>
      <c r="C37" s="15" t="s">
        <v>168</v>
      </c>
      <c r="D37" s="13">
        <v>29.06</v>
      </c>
      <c r="E37" s="13">
        <f t="shared" si="24"/>
        <v>70.94</v>
      </c>
      <c r="F37" s="13">
        <f t="shared" si="9"/>
        <v>29.06</v>
      </c>
      <c r="G37" s="14">
        <f t="shared" si="25"/>
        <v>29.06</v>
      </c>
      <c r="H37" s="14">
        <f t="shared" si="10"/>
        <v>29.06</v>
      </c>
      <c r="I37" s="13">
        <v>0</v>
      </c>
      <c r="J37" s="13"/>
      <c r="K37" s="13"/>
      <c r="L37" s="13">
        <v>29.06</v>
      </c>
      <c r="M37" s="13"/>
      <c r="N37" s="13"/>
      <c r="O37" s="13"/>
      <c r="P37" s="13"/>
    </row>
    <row r="38" ht="42" customHeight="1" spans="1:16">
      <c r="A38" s="10" t="s">
        <v>150</v>
      </c>
      <c r="B38" s="11">
        <v>400</v>
      </c>
      <c r="C38" s="12" t="s">
        <v>164</v>
      </c>
      <c r="D38" s="13">
        <v>340</v>
      </c>
      <c r="E38" s="13">
        <f t="shared" si="24"/>
        <v>60</v>
      </c>
      <c r="F38" s="13">
        <f t="shared" si="9"/>
        <v>85</v>
      </c>
      <c r="G38" s="14">
        <f t="shared" si="25"/>
        <v>340</v>
      </c>
      <c r="H38" s="14">
        <f t="shared" si="10"/>
        <v>340</v>
      </c>
      <c r="I38" s="13"/>
      <c r="J38" s="13"/>
      <c r="K38" s="13">
        <v>340</v>
      </c>
      <c r="L38" s="13"/>
      <c r="M38" s="13"/>
      <c r="N38" s="13"/>
      <c r="O38" s="13"/>
      <c r="P38" s="13"/>
    </row>
    <row r="39" ht="42" customHeight="1" spans="1:16">
      <c r="A39" s="10" t="s">
        <v>37</v>
      </c>
      <c r="B39" s="11">
        <v>780</v>
      </c>
      <c r="C39" s="15" t="s">
        <v>163</v>
      </c>
      <c r="D39" s="13">
        <v>230</v>
      </c>
      <c r="E39" s="13">
        <f t="shared" si="24"/>
        <v>550</v>
      </c>
      <c r="F39" s="13">
        <f t="shared" si="9"/>
        <v>29.4871794871795</v>
      </c>
      <c r="G39" s="14">
        <f t="shared" si="25"/>
        <v>230</v>
      </c>
      <c r="H39" s="14">
        <f t="shared" si="10"/>
        <v>230</v>
      </c>
      <c r="I39" s="13"/>
      <c r="J39" s="13"/>
      <c r="K39" s="13"/>
      <c r="L39" s="13">
        <v>200</v>
      </c>
      <c r="M39" s="13">
        <v>30</v>
      </c>
      <c r="N39" s="13"/>
      <c r="O39" s="13"/>
      <c r="P39" s="13"/>
    </row>
    <row r="40" ht="42" customHeight="1" spans="1:16">
      <c r="A40" s="10" t="s">
        <v>150</v>
      </c>
      <c r="B40" s="11">
        <v>50</v>
      </c>
      <c r="C40" s="15" t="s">
        <v>169</v>
      </c>
      <c r="D40" s="13">
        <v>25</v>
      </c>
      <c r="E40" s="13">
        <f t="shared" si="24"/>
        <v>25</v>
      </c>
      <c r="F40" s="13">
        <f t="shared" si="9"/>
        <v>50</v>
      </c>
      <c r="G40" s="14">
        <f t="shared" si="25"/>
        <v>25</v>
      </c>
      <c r="H40" s="14">
        <f t="shared" si="10"/>
        <v>25</v>
      </c>
      <c r="I40" s="13">
        <v>0</v>
      </c>
      <c r="J40" s="13"/>
      <c r="K40" s="13"/>
      <c r="L40" s="13">
        <v>25</v>
      </c>
      <c r="M40" s="13"/>
      <c r="N40" s="13"/>
      <c r="O40" s="13"/>
      <c r="P40" s="13"/>
    </row>
    <row r="41" ht="42" customHeight="1" spans="1:16">
      <c r="A41" s="180" t="s">
        <v>190</v>
      </c>
      <c r="B41" s="11">
        <f>SUM(B42:B46)</f>
        <v>650</v>
      </c>
      <c r="C41" s="11">
        <f>SUM(C42:C46)</f>
        <v>0</v>
      </c>
      <c r="D41" s="13">
        <f>SUM(D42:D46)</f>
        <v>80</v>
      </c>
      <c r="E41" s="13">
        <f t="shared" si="24"/>
        <v>570</v>
      </c>
      <c r="F41" s="13">
        <f t="shared" si="9"/>
        <v>12.3076923076923</v>
      </c>
      <c r="G41" s="14">
        <f t="shared" si="25"/>
        <v>80</v>
      </c>
      <c r="H41" s="14">
        <f t="shared" si="10"/>
        <v>0</v>
      </c>
      <c r="I41" s="11">
        <f t="shared" ref="I41:P41" si="26">SUM(I42:I46)</f>
        <v>0</v>
      </c>
      <c r="J41" s="11">
        <f t="shared" si="26"/>
        <v>0</v>
      </c>
      <c r="K41" s="11">
        <f t="shared" si="26"/>
        <v>0</v>
      </c>
      <c r="L41" s="11">
        <f t="shared" si="26"/>
        <v>0</v>
      </c>
      <c r="M41" s="11">
        <f t="shared" si="26"/>
        <v>0</v>
      </c>
      <c r="N41" s="11">
        <f t="shared" si="26"/>
        <v>0</v>
      </c>
      <c r="O41" s="11">
        <f t="shared" si="26"/>
        <v>0</v>
      </c>
      <c r="P41" s="11">
        <f t="shared" si="26"/>
        <v>80</v>
      </c>
    </row>
    <row r="42" ht="42" customHeight="1" spans="1:16">
      <c r="A42" s="10" t="s">
        <v>191</v>
      </c>
      <c r="B42" s="11">
        <v>150</v>
      </c>
      <c r="C42" s="15" t="s">
        <v>192</v>
      </c>
      <c r="D42" s="13"/>
      <c r="E42" s="13">
        <f t="shared" si="24"/>
        <v>150</v>
      </c>
      <c r="F42" s="13">
        <f t="shared" si="9"/>
        <v>0</v>
      </c>
      <c r="G42" s="14">
        <f t="shared" si="25"/>
        <v>0</v>
      </c>
      <c r="H42" s="14">
        <f t="shared" si="10"/>
        <v>0</v>
      </c>
      <c r="I42" s="13"/>
      <c r="J42" s="13"/>
      <c r="K42" s="13"/>
      <c r="L42" s="13"/>
      <c r="M42" s="13"/>
      <c r="N42" s="13"/>
      <c r="O42" s="13"/>
      <c r="P42" s="13"/>
    </row>
    <row r="43" ht="42" customHeight="1" spans="1:16">
      <c r="A43" s="10" t="s">
        <v>150</v>
      </c>
      <c r="B43" s="11">
        <v>140</v>
      </c>
      <c r="C43" s="15" t="s">
        <v>193</v>
      </c>
      <c r="D43" s="13"/>
      <c r="E43" s="13">
        <f t="shared" si="24"/>
        <v>140</v>
      </c>
      <c r="F43" s="13">
        <f t="shared" si="9"/>
        <v>0</v>
      </c>
      <c r="G43" s="14">
        <f t="shared" si="25"/>
        <v>0</v>
      </c>
      <c r="H43" s="14">
        <f t="shared" si="10"/>
        <v>0</v>
      </c>
      <c r="I43" s="13"/>
      <c r="J43" s="13"/>
      <c r="K43" s="13"/>
      <c r="L43" s="13"/>
      <c r="M43" s="13"/>
      <c r="N43" s="13"/>
      <c r="O43" s="13"/>
      <c r="P43" s="13"/>
    </row>
    <row r="44" ht="42" customHeight="1" spans="1:16">
      <c r="A44" s="10" t="s">
        <v>150</v>
      </c>
      <c r="B44" s="11">
        <v>100</v>
      </c>
      <c r="C44" s="15" t="s">
        <v>194</v>
      </c>
      <c r="D44" s="13"/>
      <c r="E44" s="13">
        <f t="shared" si="24"/>
        <v>100</v>
      </c>
      <c r="F44" s="13">
        <f t="shared" si="9"/>
        <v>0</v>
      </c>
      <c r="G44" s="14">
        <f t="shared" si="25"/>
        <v>0</v>
      </c>
      <c r="H44" s="14">
        <f t="shared" si="10"/>
        <v>0</v>
      </c>
      <c r="I44" s="13"/>
      <c r="J44" s="13"/>
      <c r="K44" s="13"/>
      <c r="L44" s="13"/>
      <c r="M44" s="13"/>
      <c r="N44" s="13"/>
      <c r="O44" s="13"/>
      <c r="P44" s="13"/>
    </row>
    <row r="45" ht="42" customHeight="1" spans="1:16">
      <c r="A45" s="10" t="s">
        <v>195</v>
      </c>
      <c r="B45" s="11">
        <v>100</v>
      </c>
      <c r="C45" s="15" t="s">
        <v>196</v>
      </c>
      <c r="D45" s="13"/>
      <c r="E45" s="13">
        <f t="shared" si="24"/>
        <v>100</v>
      </c>
      <c r="F45" s="13">
        <f t="shared" si="9"/>
        <v>0</v>
      </c>
      <c r="G45" s="14">
        <f t="shared" si="25"/>
        <v>0</v>
      </c>
      <c r="H45" s="14">
        <f t="shared" si="10"/>
        <v>0</v>
      </c>
      <c r="I45" s="13"/>
      <c r="J45" s="13"/>
      <c r="K45" s="13"/>
      <c r="L45" s="13"/>
      <c r="M45" s="13"/>
      <c r="N45" s="13"/>
      <c r="O45" s="13"/>
      <c r="P45" s="13"/>
    </row>
    <row r="46" ht="42" customHeight="1" spans="1:16">
      <c r="A46" s="10" t="s">
        <v>197</v>
      </c>
      <c r="B46" s="11">
        <v>160</v>
      </c>
      <c r="C46" s="15" t="s">
        <v>198</v>
      </c>
      <c r="D46" s="13">
        <v>80</v>
      </c>
      <c r="E46" s="13">
        <f t="shared" si="24"/>
        <v>80</v>
      </c>
      <c r="F46" s="13">
        <f t="shared" si="9"/>
        <v>50</v>
      </c>
      <c r="G46" s="14">
        <f t="shared" si="25"/>
        <v>80</v>
      </c>
      <c r="H46" s="14">
        <f t="shared" si="10"/>
        <v>0</v>
      </c>
      <c r="I46" s="13"/>
      <c r="J46" s="13"/>
      <c r="K46" s="13"/>
      <c r="L46" s="13"/>
      <c r="M46" s="13"/>
      <c r="N46" s="13"/>
      <c r="O46" s="13"/>
      <c r="P46" s="13">
        <v>80</v>
      </c>
    </row>
    <row r="47" ht="43" customHeight="1" spans="1:16">
      <c r="A47" s="206" t="s">
        <v>27</v>
      </c>
      <c r="B47" s="177">
        <f t="shared" ref="B47:P47" si="27">B34+B6</f>
        <v>25022.5</v>
      </c>
      <c r="C47" s="177">
        <f t="shared" si="27"/>
        <v>0</v>
      </c>
      <c r="D47" s="178">
        <f t="shared" si="27"/>
        <v>18199.19</v>
      </c>
      <c r="E47" s="178">
        <f t="shared" si="27"/>
        <v>6823.31</v>
      </c>
      <c r="F47" s="178">
        <f t="shared" si="9"/>
        <v>72.7313018283545</v>
      </c>
      <c r="G47" s="178">
        <f t="shared" si="27"/>
        <v>18199.19388</v>
      </c>
      <c r="H47" s="178">
        <f t="shared" si="27"/>
        <v>16009.79288</v>
      </c>
      <c r="I47" s="178">
        <f t="shared" si="27"/>
        <v>4630.9</v>
      </c>
      <c r="J47" s="178">
        <f t="shared" si="27"/>
        <v>7404.6</v>
      </c>
      <c r="K47" s="178">
        <f t="shared" si="27"/>
        <v>2178.5</v>
      </c>
      <c r="L47" s="178">
        <f t="shared" si="27"/>
        <v>445.76</v>
      </c>
      <c r="M47" s="178">
        <f t="shared" si="27"/>
        <v>550</v>
      </c>
      <c r="N47" s="178">
        <f t="shared" si="27"/>
        <v>800.03288</v>
      </c>
      <c r="O47" s="178">
        <f t="shared" si="27"/>
        <v>2093.16</v>
      </c>
      <c r="P47" s="178">
        <f t="shared" si="27"/>
        <v>96.241</v>
      </c>
    </row>
    <row r="48" ht="53" customHeight="1" spans="1:16">
      <c r="A48" s="207" t="s">
        <v>205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</row>
    <row r="49" ht="40" customHeight="1" spans="1:16">
      <c r="A49" s="209" t="s">
        <v>170</v>
      </c>
      <c r="B49" s="210">
        <f t="shared" ref="B49:P49" si="28">SUM(B50:B61)</f>
        <v>25022.5</v>
      </c>
      <c r="C49" s="211"/>
      <c r="D49" s="211">
        <f t="shared" si="28"/>
        <v>18199.19</v>
      </c>
      <c r="E49" s="211">
        <f t="shared" si="28"/>
        <v>6823.31</v>
      </c>
      <c r="F49" s="211">
        <f t="shared" ref="F49:F62" si="29">D49/B49*100</f>
        <v>72.7313018283545</v>
      </c>
      <c r="G49" s="211">
        <f t="shared" si="28"/>
        <v>18199.19388</v>
      </c>
      <c r="H49" s="211">
        <f t="shared" si="28"/>
        <v>16009.79288</v>
      </c>
      <c r="I49" s="211">
        <f t="shared" si="28"/>
        <v>4630.9</v>
      </c>
      <c r="J49" s="211">
        <f t="shared" si="28"/>
        <v>7404.6</v>
      </c>
      <c r="K49" s="211">
        <f t="shared" si="28"/>
        <v>2178.5</v>
      </c>
      <c r="L49" s="211">
        <f t="shared" si="28"/>
        <v>445.76</v>
      </c>
      <c r="M49" s="211">
        <f t="shared" si="28"/>
        <v>550</v>
      </c>
      <c r="N49" s="211">
        <f t="shared" si="28"/>
        <v>800.03288</v>
      </c>
      <c r="O49" s="211">
        <f t="shared" si="28"/>
        <v>2093.16</v>
      </c>
      <c r="P49" s="211">
        <f t="shared" si="28"/>
        <v>96.241</v>
      </c>
    </row>
    <row r="50" ht="40" customHeight="1" spans="1:16">
      <c r="A50" s="10" t="s">
        <v>148</v>
      </c>
      <c r="B50" s="13">
        <f t="shared" ref="B50:P50" si="30">B9+B20+B32</f>
        <v>3177</v>
      </c>
      <c r="C50" s="13"/>
      <c r="D50" s="13">
        <f t="shared" si="30"/>
        <v>2093.16</v>
      </c>
      <c r="E50" s="13">
        <f t="shared" si="30"/>
        <v>1083.84</v>
      </c>
      <c r="F50" s="13">
        <f t="shared" si="29"/>
        <v>65.8847969782814</v>
      </c>
      <c r="G50" s="13">
        <f t="shared" si="30"/>
        <v>2093.16</v>
      </c>
      <c r="H50" s="13">
        <f t="shared" si="30"/>
        <v>0</v>
      </c>
      <c r="I50" s="13">
        <f t="shared" si="30"/>
        <v>0</v>
      </c>
      <c r="J50" s="13">
        <f t="shared" si="30"/>
        <v>0</v>
      </c>
      <c r="K50" s="13">
        <f t="shared" si="30"/>
        <v>0</v>
      </c>
      <c r="L50" s="13">
        <f t="shared" si="30"/>
        <v>0</v>
      </c>
      <c r="M50" s="13">
        <f t="shared" si="30"/>
        <v>0</v>
      </c>
      <c r="N50" s="13">
        <f t="shared" si="30"/>
        <v>0</v>
      </c>
      <c r="O50" s="13">
        <f t="shared" si="30"/>
        <v>2093.16</v>
      </c>
      <c r="P50" s="13">
        <f t="shared" si="30"/>
        <v>0</v>
      </c>
    </row>
    <row r="51" ht="40" customHeight="1" spans="1:16">
      <c r="A51" s="10" t="s">
        <v>150</v>
      </c>
      <c r="B51" s="13">
        <f t="shared" ref="B51:P51" si="31">B10+B16+B21+B28+B30+B43+B44+B25+B27+B36+B38+B40</f>
        <v>11849.5</v>
      </c>
      <c r="C51" s="13"/>
      <c r="D51" s="13">
        <f t="shared" si="31"/>
        <v>11366</v>
      </c>
      <c r="E51" s="13">
        <f t="shared" si="31"/>
        <v>483.5</v>
      </c>
      <c r="F51" s="13">
        <f t="shared" si="29"/>
        <v>95.9196590573442</v>
      </c>
      <c r="G51" s="13">
        <f t="shared" si="31"/>
        <v>11366</v>
      </c>
      <c r="H51" s="13">
        <f t="shared" si="31"/>
        <v>11366</v>
      </c>
      <c r="I51" s="13">
        <f t="shared" si="31"/>
        <v>4630.9</v>
      </c>
      <c r="J51" s="13">
        <f t="shared" si="31"/>
        <v>4531.6</v>
      </c>
      <c r="K51" s="13">
        <f t="shared" si="31"/>
        <v>2178.5</v>
      </c>
      <c r="L51" s="13">
        <f t="shared" si="31"/>
        <v>25</v>
      </c>
      <c r="M51" s="13">
        <f t="shared" si="31"/>
        <v>0</v>
      </c>
      <c r="N51" s="13">
        <f t="shared" si="31"/>
        <v>0</v>
      </c>
      <c r="O51" s="13">
        <f t="shared" si="31"/>
        <v>0</v>
      </c>
      <c r="P51" s="13">
        <f t="shared" si="31"/>
        <v>0</v>
      </c>
    </row>
    <row r="52" ht="40" customHeight="1" spans="1:16">
      <c r="A52" s="10" t="s">
        <v>152</v>
      </c>
      <c r="B52" s="13">
        <f t="shared" ref="B52:P52" si="32">B11+B17+B22</f>
        <v>2453</v>
      </c>
      <c r="C52" s="13"/>
      <c r="D52" s="13">
        <f t="shared" si="32"/>
        <v>0</v>
      </c>
      <c r="E52" s="13">
        <f t="shared" si="32"/>
        <v>2453</v>
      </c>
      <c r="F52" s="13">
        <f t="shared" si="29"/>
        <v>0</v>
      </c>
      <c r="G52" s="13">
        <f t="shared" si="32"/>
        <v>0</v>
      </c>
      <c r="H52" s="13">
        <f t="shared" si="32"/>
        <v>0</v>
      </c>
      <c r="I52" s="13">
        <f t="shared" si="32"/>
        <v>0</v>
      </c>
      <c r="J52" s="13">
        <f t="shared" si="32"/>
        <v>0</v>
      </c>
      <c r="K52" s="13">
        <f t="shared" si="32"/>
        <v>0</v>
      </c>
      <c r="L52" s="13">
        <f t="shared" si="32"/>
        <v>0</v>
      </c>
      <c r="M52" s="13">
        <f t="shared" si="32"/>
        <v>0</v>
      </c>
      <c r="N52" s="13">
        <f t="shared" si="32"/>
        <v>0</v>
      </c>
      <c r="O52" s="13">
        <f t="shared" si="32"/>
        <v>0</v>
      </c>
      <c r="P52" s="13">
        <f t="shared" si="32"/>
        <v>0</v>
      </c>
    </row>
    <row r="53" ht="40" customHeight="1" spans="1:16">
      <c r="A53" s="10" t="s">
        <v>154</v>
      </c>
      <c r="B53" s="13">
        <f t="shared" ref="B53:P53" si="33">B12</f>
        <v>567</v>
      </c>
      <c r="C53" s="13"/>
      <c r="D53" s="13">
        <f t="shared" si="33"/>
        <v>567</v>
      </c>
      <c r="E53" s="13">
        <f t="shared" si="33"/>
        <v>0</v>
      </c>
      <c r="F53" s="13">
        <f t="shared" si="29"/>
        <v>100</v>
      </c>
      <c r="G53" s="13">
        <f t="shared" si="33"/>
        <v>567</v>
      </c>
      <c r="H53" s="13">
        <f t="shared" si="33"/>
        <v>567</v>
      </c>
      <c r="I53" s="13">
        <f t="shared" si="33"/>
        <v>0</v>
      </c>
      <c r="J53" s="13">
        <f t="shared" si="33"/>
        <v>0</v>
      </c>
      <c r="K53" s="13">
        <f t="shared" si="33"/>
        <v>0</v>
      </c>
      <c r="L53" s="13">
        <f t="shared" si="33"/>
        <v>0</v>
      </c>
      <c r="M53" s="13">
        <f t="shared" si="33"/>
        <v>0</v>
      </c>
      <c r="N53" s="13">
        <f t="shared" si="33"/>
        <v>567</v>
      </c>
      <c r="O53" s="13">
        <f t="shared" si="33"/>
        <v>0</v>
      </c>
      <c r="P53" s="13">
        <f t="shared" si="33"/>
        <v>0</v>
      </c>
    </row>
    <row r="54" ht="40" customHeight="1" spans="1:16">
      <c r="A54" s="10" t="s">
        <v>36</v>
      </c>
      <c r="B54" s="13">
        <f t="shared" ref="B54:P54" si="34">B13+B33</f>
        <v>856</v>
      </c>
      <c r="C54" s="13"/>
      <c r="D54" s="13">
        <f t="shared" si="34"/>
        <v>249.59</v>
      </c>
      <c r="E54" s="13">
        <f t="shared" si="34"/>
        <v>606.41</v>
      </c>
      <c r="F54" s="13">
        <f t="shared" si="29"/>
        <v>29.1577102803738</v>
      </c>
      <c r="G54" s="13">
        <f t="shared" si="34"/>
        <v>249.59388</v>
      </c>
      <c r="H54" s="13">
        <f t="shared" si="34"/>
        <v>233.35288</v>
      </c>
      <c r="I54" s="13">
        <f t="shared" si="34"/>
        <v>0</v>
      </c>
      <c r="J54" s="13">
        <f t="shared" si="34"/>
        <v>0</v>
      </c>
      <c r="K54" s="13">
        <f t="shared" si="34"/>
        <v>0</v>
      </c>
      <c r="L54" s="13">
        <f t="shared" si="34"/>
        <v>191.7</v>
      </c>
      <c r="M54" s="13">
        <f t="shared" si="34"/>
        <v>0</v>
      </c>
      <c r="N54" s="13">
        <f t="shared" si="34"/>
        <v>41.65288</v>
      </c>
      <c r="O54" s="13">
        <f t="shared" si="34"/>
        <v>0</v>
      </c>
      <c r="P54" s="13">
        <f t="shared" si="34"/>
        <v>16.241</v>
      </c>
    </row>
    <row r="55" ht="40" customHeight="1" spans="1:16">
      <c r="A55" s="10" t="s">
        <v>33</v>
      </c>
      <c r="B55" s="13">
        <f t="shared" ref="B55:P55" si="35">B14+B24</f>
        <v>3260</v>
      </c>
      <c r="C55" s="13"/>
      <c r="D55" s="13">
        <f t="shared" si="35"/>
        <v>3064.38</v>
      </c>
      <c r="E55" s="13">
        <f t="shared" si="35"/>
        <v>195.62</v>
      </c>
      <c r="F55" s="13">
        <f t="shared" si="29"/>
        <v>93.9993865030675</v>
      </c>
      <c r="G55" s="13">
        <f t="shared" si="35"/>
        <v>3064.38</v>
      </c>
      <c r="H55" s="13">
        <f t="shared" si="35"/>
        <v>3064.38</v>
      </c>
      <c r="I55" s="13">
        <f t="shared" si="35"/>
        <v>0</v>
      </c>
      <c r="J55" s="13">
        <f t="shared" si="35"/>
        <v>2873</v>
      </c>
      <c r="K55" s="13">
        <f t="shared" si="35"/>
        <v>0</v>
      </c>
      <c r="L55" s="13">
        <f t="shared" si="35"/>
        <v>0</v>
      </c>
      <c r="M55" s="13">
        <f t="shared" si="35"/>
        <v>0</v>
      </c>
      <c r="N55" s="13">
        <f t="shared" si="35"/>
        <v>191.38</v>
      </c>
      <c r="O55" s="13">
        <f t="shared" si="35"/>
        <v>0</v>
      </c>
      <c r="P55" s="13">
        <f t="shared" si="35"/>
        <v>0</v>
      </c>
    </row>
    <row r="56" ht="40" customHeight="1" spans="1:16">
      <c r="A56" s="10" t="s">
        <v>199</v>
      </c>
      <c r="B56" s="13">
        <f t="shared" ref="B56:P56" si="36">B18</f>
        <v>50</v>
      </c>
      <c r="C56" s="13"/>
      <c r="D56" s="13">
        <f t="shared" si="36"/>
        <v>0</v>
      </c>
      <c r="E56" s="13">
        <f t="shared" si="36"/>
        <v>50</v>
      </c>
      <c r="F56" s="13">
        <f t="shared" si="29"/>
        <v>0</v>
      </c>
      <c r="G56" s="13">
        <f t="shared" si="36"/>
        <v>0</v>
      </c>
      <c r="H56" s="13">
        <f t="shared" si="36"/>
        <v>0</v>
      </c>
      <c r="I56" s="13">
        <f t="shared" si="36"/>
        <v>0</v>
      </c>
      <c r="J56" s="13">
        <f t="shared" si="36"/>
        <v>0</v>
      </c>
      <c r="K56" s="13">
        <f t="shared" si="36"/>
        <v>0</v>
      </c>
      <c r="L56" s="13">
        <f t="shared" si="36"/>
        <v>0</v>
      </c>
      <c r="M56" s="13">
        <f t="shared" si="36"/>
        <v>0</v>
      </c>
      <c r="N56" s="13">
        <f t="shared" si="36"/>
        <v>0</v>
      </c>
      <c r="O56" s="13">
        <f t="shared" si="36"/>
        <v>0</v>
      </c>
      <c r="P56" s="13">
        <f t="shared" si="36"/>
        <v>0</v>
      </c>
    </row>
    <row r="57" ht="40" customHeight="1" spans="1:16">
      <c r="A57" s="10" t="s">
        <v>37</v>
      </c>
      <c r="B57" s="13">
        <f t="shared" ref="B57:P57" si="37">B26+B37+B39</f>
        <v>1400</v>
      </c>
      <c r="C57" s="13"/>
      <c r="D57" s="13">
        <f t="shared" si="37"/>
        <v>779.06</v>
      </c>
      <c r="E57" s="13">
        <f t="shared" si="37"/>
        <v>620.94</v>
      </c>
      <c r="F57" s="13">
        <f t="shared" si="29"/>
        <v>55.6471428571429</v>
      </c>
      <c r="G57" s="13">
        <f t="shared" si="37"/>
        <v>779.06</v>
      </c>
      <c r="H57" s="13">
        <f t="shared" si="37"/>
        <v>779.06</v>
      </c>
      <c r="I57" s="13">
        <f t="shared" si="37"/>
        <v>0</v>
      </c>
      <c r="J57" s="13">
        <f t="shared" si="37"/>
        <v>0</v>
      </c>
      <c r="K57" s="13">
        <f t="shared" si="37"/>
        <v>0</v>
      </c>
      <c r="L57" s="13">
        <f t="shared" si="37"/>
        <v>229.06</v>
      </c>
      <c r="M57" s="13">
        <f t="shared" si="37"/>
        <v>550</v>
      </c>
      <c r="N57" s="13">
        <f t="shared" si="37"/>
        <v>0</v>
      </c>
      <c r="O57" s="13">
        <f t="shared" si="37"/>
        <v>0</v>
      </c>
      <c r="P57" s="13">
        <f t="shared" si="37"/>
        <v>0</v>
      </c>
    </row>
    <row r="58" ht="40" customHeight="1" spans="1:16">
      <c r="A58" s="10" t="s">
        <v>191</v>
      </c>
      <c r="B58" s="13">
        <f t="shared" ref="B58:P58" si="38">B42</f>
        <v>150</v>
      </c>
      <c r="C58" s="13"/>
      <c r="D58" s="13">
        <f t="shared" si="38"/>
        <v>0</v>
      </c>
      <c r="E58" s="13">
        <f t="shared" si="38"/>
        <v>150</v>
      </c>
      <c r="F58" s="13">
        <f t="shared" si="29"/>
        <v>0</v>
      </c>
      <c r="G58" s="13">
        <f t="shared" si="38"/>
        <v>0</v>
      </c>
      <c r="H58" s="13">
        <f t="shared" si="38"/>
        <v>0</v>
      </c>
      <c r="I58" s="13">
        <f t="shared" si="38"/>
        <v>0</v>
      </c>
      <c r="J58" s="13">
        <f t="shared" si="38"/>
        <v>0</v>
      </c>
      <c r="K58" s="13">
        <f t="shared" si="38"/>
        <v>0</v>
      </c>
      <c r="L58" s="13">
        <f t="shared" si="38"/>
        <v>0</v>
      </c>
      <c r="M58" s="13">
        <f t="shared" si="38"/>
        <v>0</v>
      </c>
      <c r="N58" s="13">
        <f t="shared" si="38"/>
        <v>0</v>
      </c>
      <c r="O58" s="13">
        <f t="shared" si="38"/>
        <v>0</v>
      </c>
      <c r="P58" s="13">
        <f t="shared" si="38"/>
        <v>0</v>
      </c>
    </row>
    <row r="59" ht="38" customHeight="1" spans="1:16">
      <c r="A59" s="10" t="s">
        <v>195</v>
      </c>
      <c r="B59" s="13">
        <f t="shared" ref="B59:P59" si="39">B45</f>
        <v>100</v>
      </c>
      <c r="C59" s="13"/>
      <c r="D59" s="13">
        <f t="shared" si="39"/>
        <v>0</v>
      </c>
      <c r="E59" s="13">
        <f t="shared" si="39"/>
        <v>100</v>
      </c>
      <c r="F59" s="13">
        <f t="shared" si="29"/>
        <v>0</v>
      </c>
      <c r="G59" s="13">
        <f t="shared" si="39"/>
        <v>0</v>
      </c>
      <c r="H59" s="13">
        <f t="shared" si="39"/>
        <v>0</v>
      </c>
      <c r="I59" s="13">
        <f t="shared" si="39"/>
        <v>0</v>
      </c>
      <c r="J59" s="13">
        <f t="shared" si="39"/>
        <v>0</v>
      </c>
      <c r="K59" s="13">
        <f t="shared" si="39"/>
        <v>0</v>
      </c>
      <c r="L59" s="13">
        <f t="shared" si="39"/>
        <v>0</v>
      </c>
      <c r="M59" s="13">
        <f t="shared" si="39"/>
        <v>0</v>
      </c>
      <c r="N59" s="13">
        <f t="shared" si="39"/>
        <v>0</v>
      </c>
      <c r="O59" s="13">
        <f t="shared" si="39"/>
        <v>0</v>
      </c>
      <c r="P59" s="13">
        <f t="shared" si="39"/>
        <v>0</v>
      </c>
    </row>
    <row r="60" ht="38" customHeight="1" spans="1:16">
      <c r="A60" s="10" t="s">
        <v>35</v>
      </c>
      <c r="B60" s="13">
        <f t="shared" ref="B60:P60" si="40">B31</f>
        <v>1000</v>
      </c>
      <c r="C60" s="13"/>
      <c r="D60" s="13">
        <f t="shared" si="40"/>
        <v>0</v>
      </c>
      <c r="E60" s="13">
        <f t="shared" si="40"/>
        <v>1000</v>
      </c>
      <c r="F60" s="13">
        <f t="shared" si="29"/>
        <v>0</v>
      </c>
      <c r="G60" s="13">
        <f t="shared" si="40"/>
        <v>0</v>
      </c>
      <c r="H60" s="13">
        <f t="shared" si="40"/>
        <v>0</v>
      </c>
      <c r="I60" s="13">
        <f t="shared" si="40"/>
        <v>0</v>
      </c>
      <c r="J60" s="13">
        <f t="shared" si="40"/>
        <v>0</v>
      </c>
      <c r="K60" s="13">
        <f t="shared" si="40"/>
        <v>0</v>
      </c>
      <c r="L60" s="13">
        <f t="shared" si="40"/>
        <v>0</v>
      </c>
      <c r="M60" s="13">
        <f t="shared" si="40"/>
        <v>0</v>
      </c>
      <c r="N60" s="13">
        <f t="shared" si="40"/>
        <v>0</v>
      </c>
      <c r="O60" s="13">
        <f t="shared" si="40"/>
        <v>0</v>
      </c>
      <c r="P60" s="13">
        <f t="shared" si="40"/>
        <v>0</v>
      </c>
    </row>
    <row r="61" ht="38" customHeight="1" spans="1:16">
      <c r="A61" s="10" t="s">
        <v>197</v>
      </c>
      <c r="B61" s="13">
        <f t="shared" ref="B61:P61" si="41">B46</f>
        <v>160</v>
      </c>
      <c r="C61" s="13"/>
      <c r="D61" s="13">
        <f t="shared" si="41"/>
        <v>80</v>
      </c>
      <c r="E61" s="13">
        <f t="shared" si="41"/>
        <v>80</v>
      </c>
      <c r="F61" s="13">
        <f t="shared" si="29"/>
        <v>50</v>
      </c>
      <c r="G61" s="13">
        <f t="shared" si="41"/>
        <v>80</v>
      </c>
      <c r="H61" s="13">
        <f t="shared" si="41"/>
        <v>0</v>
      </c>
      <c r="I61" s="13">
        <f t="shared" si="41"/>
        <v>0</v>
      </c>
      <c r="J61" s="13">
        <f t="shared" si="41"/>
        <v>0</v>
      </c>
      <c r="K61" s="13">
        <f t="shared" si="41"/>
        <v>0</v>
      </c>
      <c r="L61" s="13">
        <f t="shared" si="41"/>
        <v>0</v>
      </c>
      <c r="M61" s="13">
        <f t="shared" si="41"/>
        <v>0</v>
      </c>
      <c r="N61" s="13">
        <f t="shared" si="41"/>
        <v>0</v>
      </c>
      <c r="O61" s="13">
        <f t="shared" si="41"/>
        <v>0</v>
      </c>
      <c r="P61" s="13">
        <f t="shared" si="41"/>
        <v>80</v>
      </c>
    </row>
  </sheetData>
  <mergeCells count="15">
    <mergeCell ref="A1:P1"/>
    <mergeCell ref="C2:K2"/>
    <mergeCell ref="O2:P2"/>
    <mergeCell ref="G3:P3"/>
    <mergeCell ref="H4:N4"/>
    <mergeCell ref="A48:P48"/>
    <mergeCell ref="A3:A5"/>
    <mergeCell ref="B3:B5"/>
    <mergeCell ref="C3:C5"/>
    <mergeCell ref="D3:D5"/>
    <mergeCell ref="E3:E5"/>
    <mergeCell ref="F3:F5"/>
    <mergeCell ref="G4:G5"/>
    <mergeCell ref="O4:O5"/>
    <mergeCell ref="P4:P5"/>
  </mergeCells>
  <pageMargins left="0.609027777777778" right="0.354166666666667" top="0.393055555555556" bottom="0.196527777777778" header="0.511805555555556" footer="0.511805555555556"/>
  <pageSetup paperSize="9" scale="52" fitToHeight="0" orientation="landscape" horizont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showZeros="0" zoomScale="70" zoomScaleNormal="70" workbookViewId="0">
      <pane xSplit="1" ySplit="5" topLeftCell="B6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34.8916666666667" customWidth="1"/>
    <col min="2" max="2" width="13.1833333333333" customWidth="1"/>
    <col min="3" max="3" width="35.5916666666667" customWidth="1"/>
    <col min="4" max="4" width="13.1916666666667" customWidth="1"/>
    <col min="5" max="5" width="12.0833333333333" customWidth="1"/>
    <col min="6" max="6" width="10.75" customWidth="1"/>
    <col min="7" max="7" width="13.025" customWidth="1"/>
    <col min="8" max="8" width="13.1916666666667" customWidth="1"/>
    <col min="9" max="9" width="12.25" customWidth="1"/>
    <col min="10" max="10" width="12.9166666666667" customWidth="1"/>
    <col min="11" max="11" width="13.1666666666667" customWidth="1"/>
    <col min="12" max="12" width="10.5916666666667" customWidth="1"/>
    <col min="13" max="13" width="11.25" customWidth="1"/>
    <col min="14" max="14" width="12.5" customWidth="1"/>
    <col min="15" max="15" width="12.15" customWidth="1"/>
    <col min="16" max="16" width="10.75" customWidth="1"/>
  </cols>
  <sheetData>
    <row r="1" ht="38" customHeight="1" spans="1:16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8" customHeight="1" spans="1:16">
      <c r="A2" s="2" t="s">
        <v>118</v>
      </c>
      <c r="B2" s="3"/>
      <c r="C2" s="4" t="s">
        <v>208</v>
      </c>
      <c r="D2" s="4"/>
      <c r="E2" s="4"/>
      <c r="F2" s="4"/>
      <c r="G2" s="4"/>
      <c r="H2" s="4"/>
      <c r="I2" s="4"/>
      <c r="J2" s="4"/>
      <c r="K2" s="4"/>
      <c r="L2" s="16"/>
      <c r="M2" s="16"/>
      <c r="N2" s="16"/>
      <c r="O2" s="17" t="s">
        <v>3</v>
      </c>
      <c r="P2" s="17"/>
    </row>
    <row r="3" ht="23" customHeight="1" spans="1:16">
      <c r="A3" s="174" t="s">
        <v>134</v>
      </c>
      <c r="B3" s="174" t="s">
        <v>135</v>
      </c>
      <c r="C3" s="174" t="s">
        <v>62</v>
      </c>
      <c r="D3" s="175" t="s">
        <v>136</v>
      </c>
      <c r="E3" s="175" t="s">
        <v>137</v>
      </c>
      <c r="F3" s="175" t="s">
        <v>7</v>
      </c>
      <c r="G3" s="174" t="s">
        <v>65</v>
      </c>
      <c r="H3" s="174"/>
      <c r="I3" s="174"/>
      <c r="J3" s="174"/>
      <c r="K3" s="174"/>
      <c r="L3" s="174"/>
      <c r="M3" s="174"/>
      <c r="N3" s="174"/>
      <c r="O3" s="174"/>
      <c r="P3" s="174"/>
    </row>
    <row r="4" ht="23" customHeight="1" spans="1:16">
      <c r="A4" s="174"/>
      <c r="B4" s="174"/>
      <c r="C4" s="174"/>
      <c r="D4" s="175"/>
      <c r="E4" s="175"/>
      <c r="F4" s="175"/>
      <c r="G4" s="174" t="s">
        <v>138</v>
      </c>
      <c r="H4" s="174" t="s">
        <v>139</v>
      </c>
      <c r="I4" s="174"/>
      <c r="J4" s="174"/>
      <c r="K4" s="174"/>
      <c r="L4" s="174"/>
      <c r="M4" s="174"/>
      <c r="N4" s="174"/>
      <c r="O4" s="181" t="s">
        <v>140</v>
      </c>
      <c r="P4" s="174" t="s">
        <v>141</v>
      </c>
    </row>
    <row r="5" ht="23" customHeight="1" spans="1:16">
      <c r="A5" s="174"/>
      <c r="B5" s="174"/>
      <c r="C5" s="174"/>
      <c r="D5" s="175"/>
      <c r="E5" s="175"/>
      <c r="F5" s="175"/>
      <c r="G5" s="174"/>
      <c r="H5" s="174" t="s">
        <v>66</v>
      </c>
      <c r="I5" s="174" t="s">
        <v>142</v>
      </c>
      <c r="J5" s="174" t="s">
        <v>143</v>
      </c>
      <c r="K5" s="174" t="s">
        <v>144</v>
      </c>
      <c r="L5" s="175" t="s">
        <v>69</v>
      </c>
      <c r="M5" s="175" t="s">
        <v>145</v>
      </c>
      <c r="N5" s="174" t="s">
        <v>131</v>
      </c>
      <c r="O5" s="181"/>
      <c r="P5" s="174"/>
    </row>
    <row r="6" ht="42" customHeight="1" spans="1:16">
      <c r="A6" s="203" t="s">
        <v>93</v>
      </c>
      <c r="B6" s="204">
        <f t="shared" ref="B6:G6" si="0">B7+B19+B23+B29</f>
        <v>22022.5</v>
      </c>
      <c r="C6" s="204">
        <f t="shared" si="0"/>
        <v>0</v>
      </c>
      <c r="D6" s="179">
        <f t="shared" si="0"/>
        <v>16630.44</v>
      </c>
      <c r="E6" s="179">
        <f t="shared" si="0"/>
        <v>5392.06</v>
      </c>
      <c r="F6" s="178">
        <f t="shared" ref="F6:F47" si="1">D6/B6*100</f>
        <v>75.515677148371</v>
      </c>
      <c r="G6" s="179">
        <f t="shared" si="0"/>
        <v>16630.441</v>
      </c>
      <c r="H6" s="179">
        <f t="shared" ref="H6:H46" si="2">SUM(I6:N6)</f>
        <v>14521.04</v>
      </c>
      <c r="I6" s="179">
        <f t="shared" ref="I6:P6" si="3">SUM(I7,I19,I23,I29)</f>
        <v>4630.9</v>
      </c>
      <c r="J6" s="179">
        <f t="shared" si="3"/>
        <v>6503</v>
      </c>
      <c r="K6" s="179">
        <f t="shared" si="3"/>
        <v>1838.5</v>
      </c>
      <c r="L6" s="179">
        <f t="shared" si="3"/>
        <v>191.7</v>
      </c>
      <c r="M6" s="179">
        <f t="shared" si="3"/>
        <v>520</v>
      </c>
      <c r="N6" s="179">
        <f t="shared" si="3"/>
        <v>836.94</v>
      </c>
      <c r="O6" s="179">
        <f t="shared" si="3"/>
        <v>2093.16</v>
      </c>
      <c r="P6" s="179">
        <f t="shared" si="3"/>
        <v>16.241</v>
      </c>
    </row>
    <row r="7" ht="42" customHeight="1" spans="1:16">
      <c r="A7" s="185" t="s">
        <v>180</v>
      </c>
      <c r="B7" s="186">
        <f>B8+B15+B18</f>
        <v>11910</v>
      </c>
      <c r="C7" s="186"/>
      <c r="D7" s="186">
        <f>D8+D15+D18</f>
        <v>8997.78</v>
      </c>
      <c r="E7" s="186">
        <f>E8+E15+E18</f>
        <v>2912.22</v>
      </c>
      <c r="F7" s="13">
        <f t="shared" si="1"/>
        <v>75.5481108312343</v>
      </c>
      <c r="G7" s="14">
        <f>SUM(G8,G15,G18)</f>
        <v>8997.781</v>
      </c>
      <c r="H7" s="14">
        <f t="shared" si="2"/>
        <v>8813.54</v>
      </c>
      <c r="I7" s="14">
        <f t="shared" ref="I7:P7" si="4">SUM(I8,I18)</f>
        <v>4615.9</v>
      </c>
      <c r="J7" s="14">
        <f t="shared" si="4"/>
        <v>2669</v>
      </c>
      <c r="K7" s="14">
        <f>K8+K15+K18</f>
        <v>500</v>
      </c>
      <c r="L7" s="14">
        <f t="shared" si="4"/>
        <v>191.7</v>
      </c>
      <c r="M7" s="14">
        <f t="shared" si="4"/>
        <v>0</v>
      </c>
      <c r="N7" s="14">
        <f t="shared" si="4"/>
        <v>836.94</v>
      </c>
      <c r="O7" s="14">
        <f t="shared" si="4"/>
        <v>168</v>
      </c>
      <c r="P7" s="14">
        <f t="shared" si="4"/>
        <v>16.241</v>
      </c>
    </row>
    <row r="8" ht="42" customHeight="1" spans="1:16">
      <c r="A8" s="180" t="s">
        <v>181</v>
      </c>
      <c r="B8" s="186">
        <f t="shared" ref="B8:G8" si="5">SUM(B9:B14)</f>
        <v>11036</v>
      </c>
      <c r="C8" s="187"/>
      <c r="D8" s="14">
        <f t="shared" si="5"/>
        <v>8497.78</v>
      </c>
      <c r="E8" s="14">
        <f t="shared" si="5"/>
        <v>2538.22</v>
      </c>
      <c r="F8" s="13">
        <f t="shared" si="1"/>
        <v>77.0005436752446</v>
      </c>
      <c r="G8" s="14">
        <f t="shared" si="5"/>
        <v>8497.781</v>
      </c>
      <c r="H8" s="14">
        <f t="shared" si="2"/>
        <v>8313.54</v>
      </c>
      <c r="I8" s="14">
        <f t="shared" ref="I8:P8" si="6">SUM(I9:I14)</f>
        <v>4615.9</v>
      </c>
      <c r="J8" s="14">
        <f t="shared" si="6"/>
        <v>2669</v>
      </c>
      <c r="K8" s="14">
        <f t="shared" si="6"/>
        <v>0</v>
      </c>
      <c r="L8" s="14">
        <f t="shared" si="6"/>
        <v>191.7</v>
      </c>
      <c r="M8" s="14">
        <f t="shared" si="6"/>
        <v>0</v>
      </c>
      <c r="N8" s="14">
        <f t="shared" si="6"/>
        <v>836.94</v>
      </c>
      <c r="O8" s="14">
        <f t="shared" si="6"/>
        <v>168</v>
      </c>
      <c r="P8" s="14">
        <f t="shared" si="6"/>
        <v>16.241</v>
      </c>
    </row>
    <row r="9" ht="42" customHeight="1" spans="1:16">
      <c r="A9" s="10" t="s">
        <v>148</v>
      </c>
      <c r="B9" s="11">
        <v>168</v>
      </c>
      <c r="C9" s="15" t="s">
        <v>149</v>
      </c>
      <c r="D9" s="13">
        <v>168</v>
      </c>
      <c r="E9" s="13">
        <f t="shared" ref="E9:E22" si="7">B9-D9</f>
        <v>0</v>
      </c>
      <c r="F9" s="13">
        <f t="shared" si="1"/>
        <v>100</v>
      </c>
      <c r="G9" s="13">
        <f t="shared" ref="G9:G22" si="8">SUM(I9:P9)</f>
        <v>168</v>
      </c>
      <c r="H9" s="14">
        <f t="shared" si="2"/>
        <v>0</v>
      </c>
      <c r="I9" s="13"/>
      <c r="J9" s="13"/>
      <c r="K9" s="13"/>
      <c r="L9" s="196"/>
      <c r="M9" s="196"/>
      <c r="N9" s="196"/>
      <c r="O9" s="13">
        <v>168</v>
      </c>
      <c r="P9" s="13"/>
    </row>
    <row r="10" ht="42" customHeight="1" spans="1:16">
      <c r="A10" s="10" t="s">
        <v>150</v>
      </c>
      <c r="B10" s="11">
        <v>4631</v>
      </c>
      <c r="C10" s="39" t="s">
        <v>151</v>
      </c>
      <c r="D10" s="13">
        <v>4615.9</v>
      </c>
      <c r="E10" s="13">
        <f t="shared" si="7"/>
        <v>15.1000000000004</v>
      </c>
      <c r="F10" s="13">
        <f t="shared" si="1"/>
        <v>99.6739365147916</v>
      </c>
      <c r="G10" s="13">
        <f t="shared" si="8"/>
        <v>4615.9</v>
      </c>
      <c r="H10" s="14">
        <f t="shared" si="2"/>
        <v>4615.9</v>
      </c>
      <c r="I10" s="13">
        <v>4615.9</v>
      </c>
      <c r="J10" s="13"/>
      <c r="K10" s="13"/>
      <c r="L10" s="13"/>
      <c r="M10" s="13"/>
      <c r="N10" s="13"/>
      <c r="O10" s="13"/>
      <c r="P10" s="13"/>
    </row>
    <row r="11" ht="42" customHeight="1" spans="1:16">
      <c r="A11" s="10" t="s">
        <v>152</v>
      </c>
      <c r="B11" s="11">
        <v>2058</v>
      </c>
      <c r="C11" s="15" t="s">
        <v>153</v>
      </c>
      <c r="D11" s="13"/>
      <c r="E11" s="13">
        <f t="shared" si="7"/>
        <v>2058</v>
      </c>
      <c r="F11" s="13">
        <f t="shared" si="1"/>
        <v>0</v>
      </c>
      <c r="G11" s="13">
        <f t="shared" si="8"/>
        <v>0</v>
      </c>
      <c r="H11" s="14">
        <f t="shared" si="2"/>
        <v>0</v>
      </c>
      <c r="I11" s="13"/>
      <c r="J11" s="13"/>
      <c r="K11" s="13"/>
      <c r="L11" s="13"/>
      <c r="M11" s="13"/>
      <c r="N11" s="13"/>
      <c r="O11" s="13"/>
      <c r="P11" s="13"/>
    </row>
    <row r="12" ht="42" customHeight="1" spans="1:16">
      <c r="A12" s="10" t="s">
        <v>154</v>
      </c>
      <c r="B12" s="11">
        <v>567</v>
      </c>
      <c r="C12" s="15" t="s">
        <v>155</v>
      </c>
      <c r="D12" s="13">
        <v>567</v>
      </c>
      <c r="E12" s="13">
        <f t="shared" si="7"/>
        <v>0</v>
      </c>
      <c r="F12" s="13">
        <f t="shared" si="1"/>
        <v>100</v>
      </c>
      <c r="G12" s="13">
        <f t="shared" si="8"/>
        <v>567</v>
      </c>
      <c r="H12" s="14">
        <f t="shared" si="2"/>
        <v>567</v>
      </c>
      <c r="I12" s="196"/>
      <c r="J12" s="13"/>
      <c r="K12" s="13"/>
      <c r="L12" s="13"/>
      <c r="M12" s="13"/>
      <c r="N12" s="13">
        <v>567</v>
      </c>
      <c r="O12" s="13"/>
      <c r="P12" s="13"/>
    </row>
    <row r="13" ht="42" customHeight="1" spans="1:16">
      <c r="A13" s="10" t="s">
        <v>36</v>
      </c>
      <c r="B13" s="11">
        <f>176+380</f>
        <v>556</v>
      </c>
      <c r="C13" s="39" t="s">
        <v>156</v>
      </c>
      <c r="D13" s="13">
        <v>286.5</v>
      </c>
      <c r="E13" s="13">
        <f t="shared" si="7"/>
        <v>269.5</v>
      </c>
      <c r="F13" s="13">
        <f t="shared" si="1"/>
        <v>51.5287769784173</v>
      </c>
      <c r="G13" s="13">
        <f t="shared" si="8"/>
        <v>286.501</v>
      </c>
      <c r="H13" s="14">
        <f t="shared" si="2"/>
        <v>270.26</v>
      </c>
      <c r="I13" s="13"/>
      <c r="J13" s="13"/>
      <c r="K13" s="13"/>
      <c r="L13" s="13">
        <v>191.7</v>
      </c>
      <c r="M13" s="13"/>
      <c r="N13" s="13">
        <v>78.56</v>
      </c>
      <c r="O13" s="13"/>
      <c r="P13" s="13">
        <v>16.241</v>
      </c>
    </row>
    <row r="14" ht="42" customHeight="1" spans="1:16">
      <c r="A14" s="10" t="s">
        <v>33</v>
      </c>
      <c r="B14" s="11">
        <f>387+2669</f>
        <v>3056</v>
      </c>
      <c r="C14" s="15" t="s">
        <v>157</v>
      </c>
      <c r="D14" s="13">
        <v>2860.38</v>
      </c>
      <c r="E14" s="13">
        <f t="shared" si="7"/>
        <v>195.62</v>
      </c>
      <c r="F14" s="13">
        <f t="shared" si="1"/>
        <v>93.5988219895288</v>
      </c>
      <c r="G14" s="13">
        <f t="shared" si="8"/>
        <v>2860.38</v>
      </c>
      <c r="H14" s="14">
        <f t="shared" si="2"/>
        <v>2860.38</v>
      </c>
      <c r="I14" s="13"/>
      <c r="J14" s="13">
        <v>2669</v>
      </c>
      <c r="K14" s="13"/>
      <c r="L14" s="13"/>
      <c r="M14" s="13"/>
      <c r="N14" s="13">
        <v>191.38</v>
      </c>
      <c r="O14" s="13"/>
      <c r="P14" s="13"/>
    </row>
    <row r="15" ht="42" customHeight="1" spans="1:16">
      <c r="A15" s="180" t="s">
        <v>182</v>
      </c>
      <c r="B15" s="11">
        <f>B16+B17</f>
        <v>824</v>
      </c>
      <c r="C15" s="15"/>
      <c r="D15" s="13">
        <v>500</v>
      </c>
      <c r="E15" s="13">
        <f t="shared" si="7"/>
        <v>324</v>
      </c>
      <c r="F15" s="13">
        <f t="shared" si="1"/>
        <v>60.6796116504854</v>
      </c>
      <c r="G15" s="13">
        <f t="shared" si="8"/>
        <v>500</v>
      </c>
      <c r="H15" s="14">
        <f t="shared" si="2"/>
        <v>500</v>
      </c>
      <c r="I15" s="13"/>
      <c r="J15" s="13"/>
      <c r="K15" s="13">
        <v>500</v>
      </c>
      <c r="L15" s="13"/>
      <c r="M15" s="13"/>
      <c r="N15" s="13"/>
      <c r="O15" s="13"/>
      <c r="P15" s="13"/>
    </row>
    <row r="16" ht="42" customHeight="1" spans="1:16">
      <c r="A16" s="10" t="s">
        <v>150</v>
      </c>
      <c r="B16" s="11">
        <v>500</v>
      </c>
      <c r="C16" s="15" t="s">
        <v>164</v>
      </c>
      <c r="D16" s="13">
        <v>500</v>
      </c>
      <c r="E16" s="13">
        <f t="shared" si="7"/>
        <v>0</v>
      </c>
      <c r="F16" s="13">
        <f t="shared" si="1"/>
        <v>100</v>
      </c>
      <c r="G16" s="13">
        <f t="shared" si="8"/>
        <v>500</v>
      </c>
      <c r="H16" s="14">
        <f t="shared" si="2"/>
        <v>500</v>
      </c>
      <c r="I16" s="13"/>
      <c r="J16" s="13"/>
      <c r="K16" s="13">
        <v>500</v>
      </c>
      <c r="L16" s="13"/>
      <c r="M16" s="13"/>
      <c r="N16" s="13"/>
      <c r="O16" s="13"/>
      <c r="P16" s="13"/>
    </row>
    <row r="17" ht="42" customHeight="1" spans="1:16">
      <c r="A17" s="10" t="s">
        <v>152</v>
      </c>
      <c r="B17" s="11">
        <v>324</v>
      </c>
      <c r="C17" s="15" t="s">
        <v>155</v>
      </c>
      <c r="D17" s="13"/>
      <c r="E17" s="13">
        <f t="shared" si="7"/>
        <v>324</v>
      </c>
      <c r="F17" s="13">
        <f t="shared" si="1"/>
        <v>0</v>
      </c>
      <c r="G17" s="13">
        <f t="shared" si="8"/>
        <v>0</v>
      </c>
      <c r="H17" s="14">
        <f t="shared" si="2"/>
        <v>0</v>
      </c>
      <c r="I17" s="13"/>
      <c r="J17" s="13"/>
      <c r="K17" s="13"/>
      <c r="L17" s="13"/>
      <c r="M17" s="13"/>
      <c r="N17" s="13"/>
      <c r="O17" s="13"/>
      <c r="P17" s="13"/>
    </row>
    <row r="18" ht="42" customHeight="1" spans="1:16">
      <c r="A18" s="180" t="s">
        <v>207</v>
      </c>
      <c r="B18" s="11">
        <v>50</v>
      </c>
      <c r="C18" s="15" t="s">
        <v>161</v>
      </c>
      <c r="D18" s="13">
        <v>0</v>
      </c>
      <c r="E18" s="13">
        <f t="shared" si="7"/>
        <v>50</v>
      </c>
      <c r="F18" s="13">
        <f t="shared" si="1"/>
        <v>0</v>
      </c>
      <c r="G18" s="13">
        <f t="shared" si="8"/>
        <v>0</v>
      </c>
      <c r="H18" s="14">
        <f t="shared" si="2"/>
        <v>0</v>
      </c>
      <c r="I18" s="13"/>
      <c r="J18" s="13"/>
      <c r="K18" s="13"/>
      <c r="L18" s="13"/>
      <c r="M18" s="13"/>
      <c r="N18" s="13"/>
      <c r="O18" s="13"/>
      <c r="P18" s="13">
        <v>0</v>
      </c>
    </row>
    <row r="19" ht="42" customHeight="1" spans="1:16">
      <c r="A19" s="185" t="s">
        <v>185</v>
      </c>
      <c r="B19" s="11">
        <f>B20+B21+B22</f>
        <v>4255</v>
      </c>
      <c r="C19" s="15"/>
      <c r="D19" s="13">
        <f>D20+D21+D22</f>
        <v>3279.53</v>
      </c>
      <c r="E19" s="13">
        <f t="shared" si="7"/>
        <v>975.47</v>
      </c>
      <c r="F19" s="13">
        <f t="shared" si="1"/>
        <v>77.0747356051704</v>
      </c>
      <c r="G19" s="13">
        <f t="shared" si="8"/>
        <v>3279.53</v>
      </c>
      <c r="H19" s="14">
        <f t="shared" si="2"/>
        <v>2855</v>
      </c>
      <c r="I19" s="13">
        <f t="shared" ref="I19:P19" si="9">I20+I21+I22</f>
        <v>0</v>
      </c>
      <c r="J19" s="13">
        <f t="shared" si="9"/>
        <v>2855</v>
      </c>
      <c r="K19" s="13">
        <f t="shared" si="9"/>
        <v>0</v>
      </c>
      <c r="L19" s="13">
        <f t="shared" si="9"/>
        <v>0</v>
      </c>
      <c r="M19" s="13">
        <f t="shared" si="9"/>
        <v>0</v>
      </c>
      <c r="N19" s="13">
        <f t="shared" si="9"/>
        <v>0</v>
      </c>
      <c r="O19" s="13">
        <f t="shared" si="9"/>
        <v>424.53</v>
      </c>
      <c r="P19" s="13">
        <f t="shared" si="9"/>
        <v>0</v>
      </c>
    </row>
    <row r="20" ht="42" customHeight="1" spans="1:16">
      <c r="A20" s="10" t="s">
        <v>148</v>
      </c>
      <c r="B20" s="11">
        <v>1329</v>
      </c>
      <c r="C20" s="15" t="s">
        <v>174</v>
      </c>
      <c r="D20" s="13">
        <v>424.53</v>
      </c>
      <c r="E20" s="13">
        <f t="shared" si="7"/>
        <v>904.47</v>
      </c>
      <c r="F20" s="13">
        <f t="shared" si="1"/>
        <v>31.9435665914221</v>
      </c>
      <c r="G20" s="13">
        <f t="shared" si="8"/>
        <v>424.53</v>
      </c>
      <c r="H20" s="14">
        <f t="shared" si="2"/>
        <v>0</v>
      </c>
      <c r="I20" s="13"/>
      <c r="J20" s="13"/>
      <c r="K20" s="13"/>
      <c r="L20" s="13"/>
      <c r="M20" s="13"/>
      <c r="N20" s="13"/>
      <c r="O20" s="13">
        <v>424.53</v>
      </c>
      <c r="P20" s="13"/>
    </row>
    <row r="21" ht="42" customHeight="1" spans="1:16">
      <c r="A21" s="10" t="s">
        <v>150</v>
      </c>
      <c r="B21" s="11">
        <v>2855</v>
      </c>
      <c r="C21" s="15" t="s">
        <v>175</v>
      </c>
      <c r="D21" s="13">
        <v>2855</v>
      </c>
      <c r="E21" s="13">
        <f t="shared" si="7"/>
        <v>0</v>
      </c>
      <c r="F21" s="13">
        <f t="shared" si="1"/>
        <v>100</v>
      </c>
      <c r="G21" s="13">
        <f t="shared" si="8"/>
        <v>2855</v>
      </c>
      <c r="H21" s="14">
        <f t="shared" si="2"/>
        <v>2855</v>
      </c>
      <c r="I21" s="13"/>
      <c r="J21" s="13">
        <v>2855</v>
      </c>
      <c r="K21" s="13"/>
      <c r="L21" s="13"/>
      <c r="M21" s="13"/>
      <c r="N21" s="13"/>
      <c r="O21" s="13"/>
      <c r="P21" s="13"/>
    </row>
    <row r="22" ht="42" customHeight="1" spans="1:16">
      <c r="A22" s="10" t="s">
        <v>152</v>
      </c>
      <c r="B22" s="11">
        <v>71</v>
      </c>
      <c r="C22" s="15" t="s">
        <v>155</v>
      </c>
      <c r="D22" s="13"/>
      <c r="E22" s="13">
        <f t="shared" si="7"/>
        <v>71</v>
      </c>
      <c r="F22" s="13">
        <f t="shared" si="1"/>
        <v>0</v>
      </c>
      <c r="G22" s="13">
        <f t="shared" si="8"/>
        <v>0</v>
      </c>
      <c r="H22" s="14">
        <f t="shared" si="2"/>
        <v>0</v>
      </c>
      <c r="I22" s="13"/>
      <c r="J22" s="13"/>
      <c r="K22" s="13"/>
      <c r="L22" s="13"/>
      <c r="M22" s="13"/>
      <c r="N22" s="13"/>
      <c r="O22" s="13"/>
      <c r="P22" s="13"/>
    </row>
    <row r="23" ht="42" customHeight="1" spans="1:16">
      <c r="A23" s="188" t="s">
        <v>186</v>
      </c>
      <c r="B23" s="11">
        <f t="shared" ref="B23:G23" si="10">SUM(B24:B28)</f>
        <v>2857.5</v>
      </c>
      <c r="C23" s="189"/>
      <c r="D23" s="13">
        <f t="shared" si="10"/>
        <v>2837.5</v>
      </c>
      <c r="E23" s="13">
        <f t="shared" si="10"/>
        <v>20</v>
      </c>
      <c r="F23" s="13">
        <f t="shared" si="1"/>
        <v>99.3000874890639</v>
      </c>
      <c r="G23" s="13">
        <f t="shared" si="10"/>
        <v>2837.5</v>
      </c>
      <c r="H23" s="14">
        <f t="shared" si="2"/>
        <v>2837.5</v>
      </c>
      <c r="I23" s="13">
        <f t="shared" ref="I23:P23" si="11">SUM(I24:I28)</f>
        <v>0</v>
      </c>
      <c r="J23" s="13">
        <f t="shared" si="11"/>
        <v>979</v>
      </c>
      <c r="K23" s="13">
        <f t="shared" si="11"/>
        <v>1338.5</v>
      </c>
      <c r="L23" s="13">
        <f t="shared" si="11"/>
        <v>0</v>
      </c>
      <c r="M23" s="13">
        <f t="shared" si="11"/>
        <v>520</v>
      </c>
      <c r="N23" s="13">
        <f t="shared" si="11"/>
        <v>0</v>
      </c>
      <c r="O23" s="13">
        <f t="shared" si="11"/>
        <v>0</v>
      </c>
      <c r="P23" s="13">
        <f t="shared" si="11"/>
        <v>0</v>
      </c>
    </row>
    <row r="24" ht="42" customHeight="1" spans="1:16">
      <c r="A24" s="10" t="s">
        <v>33</v>
      </c>
      <c r="B24" s="11">
        <v>204</v>
      </c>
      <c r="C24" s="15" t="s">
        <v>143</v>
      </c>
      <c r="D24" s="13">
        <v>204</v>
      </c>
      <c r="E24" s="13">
        <f t="shared" ref="E24:E28" si="12">B24-D24</f>
        <v>0</v>
      </c>
      <c r="F24" s="13">
        <f t="shared" si="1"/>
        <v>100</v>
      </c>
      <c r="G24" s="14">
        <f t="shared" ref="G24:G28" si="13">H24+O24+P24</f>
        <v>204</v>
      </c>
      <c r="H24" s="14">
        <f t="shared" si="2"/>
        <v>204</v>
      </c>
      <c r="I24" s="13"/>
      <c r="J24" s="13">
        <v>204</v>
      </c>
      <c r="K24" s="13"/>
      <c r="L24" s="13"/>
      <c r="M24" s="13"/>
      <c r="N24" s="13"/>
      <c r="O24" s="13"/>
      <c r="P24" s="13"/>
    </row>
    <row r="25" ht="42" customHeight="1" spans="1:16">
      <c r="A25" s="10" t="s">
        <v>150</v>
      </c>
      <c r="B25" s="11">
        <v>775</v>
      </c>
      <c r="C25" s="15" t="s">
        <v>143</v>
      </c>
      <c r="D25" s="13">
        <v>775</v>
      </c>
      <c r="E25" s="13">
        <f t="shared" si="12"/>
        <v>0</v>
      </c>
      <c r="F25" s="13">
        <f t="shared" si="1"/>
        <v>100</v>
      </c>
      <c r="G25" s="14">
        <f t="shared" si="13"/>
        <v>775</v>
      </c>
      <c r="H25" s="14">
        <f t="shared" si="2"/>
        <v>775</v>
      </c>
      <c r="I25" s="13"/>
      <c r="J25" s="13">
        <v>775</v>
      </c>
      <c r="K25" s="13"/>
      <c r="L25" s="13"/>
      <c r="M25" s="13"/>
      <c r="N25" s="13"/>
      <c r="O25" s="13"/>
      <c r="P25" s="13"/>
    </row>
    <row r="26" ht="42" customHeight="1" spans="1:16">
      <c r="A26" s="10" t="s">
        <v>37</v>
      </c>
      <c r="B26" s="11">
        <v>520</v>
      </c>
      <c r="C26" s="15" t="s">
        <v>163</v>
      </c>
      <c r="D26" s="13">
        <v>520</v>
      </c>
      <c r="E26" s="13">
        <f t="shared" si="12"/>
        <v>0</v>
      </c>
      <c r="F26" s="13">
        <f t="shared" si="1"/>
        <v>100</v>
      </c>
      <c r="G26" s="14">
        <f t="shared" si="13"/>
        <v>520</v>
      </c>
      <c r="H26" s="14">
        <f t="shared" si="2"/>
        <v>520</v>
      </c>
      <c r="I26" s="13"/>
      <c r="J26" s="13"/>
      <c r="K26" s="13"/>
      <c r="L26" s="13"/>
      <c r="M26" s="13">
        <v>520</v>
      </c>
      <c r="N26" s="13"/>
      <c r="O26" s="13"/>
      <c r="P26" s="13"/>
    </row>
    <row r="27" ht="42" customHeight="1" spans="1:16">
      <c r="A27" s="10" t="s">
        <v>150</v>
      </c>
      <c r="B27" s="11">
        <v>1338.5</v>
      </c>
      <c r="C27" s="15" t="s">
        <v>164</v>
      </c>
      <c r="D27" s="13">
        <v>1338.5</v>
      </c>
      <c r="E27" s="13">
        <f t="shared" si="12"/>
        <v>0</v>
      </c>
      <c r="F27" s="13">
        <f t="shared" si="1"/>
        <v>100</v>
      </c>
      <c r="G27" s="14">
        <f t="shared" si="13"/>
        <v>1338.5</v>
      </c>
      <c r="H27" s="14">
        <f t="shared" si="2"/>
        <v>1338.5</v>
      </c>
      <c r="I27" s="13"/>
      <c r="J27" s="13"/>
      <c r="K27" s="13">
        <v>1338.5</v>
      </c>
      <c r="L27" s="13"/>
      <c r="M27" s="13"/>
      <c r="N27" s="13"/>
      <c r="O27" s="13"/>
      <c r="P27" s="13"/>
    </row>
    <row r="28" ht="42" customHeight="1" spans="1:16">
      <c r="A28" s="10" t="s">
        <v>150</v>
      </c>
      <c r="B28" s="11">
        <v>20</v>
      </c>
      <c r="C28" s="15" t="s">
        <v>187</v>
      </c>
      <c r="D28" s="13"/>
      <c r="E28" s="13">
        <f t="shared" si="12"/>
        <v>20</v>
      </c>
      <c r="F28" s="13">
        <f t="shared" si="1"/>
        <v>0</v>
      </c>
      <c r="G28" s="14">
        <f t="shared" si="13"/>
        <v>0</v>
      </c>
      <c r="H28" s="14">
        <f t="shared" si="2"/>
        <v>0</v>
      </c>
      <c r="I28" s="13"/>
      <c r="J28" s="13"/>
      <c r="K28" s="13"/>
      <c r="L28" s="13"/>
      <c r="M28" s="13"/>
      <c r="N28" s="13"/>
      <c r="O28" s="13"/>
      <c r="P28" s="85"/>
    </row>
    <row r="29" ht="42" customHeight="1" spans="1:16">
      <c r="A29" s="185" t="s">
        <v>188</v>
      </c>
      <c r="B29" s="11">
        <f t="shared" ref="B29:G29" si="14">B30+B31+B32+B33</f>
        <v>3000</v>
      </c>
      <c r="C29" s="15"/>
      <c r="D29" s="13">
        <f t="shared" si="14"/>
        <v>1515.63</v>
      </c>
      <c r="E29" s="13">
        <f t="shared" si="14"/>
        <v>1484.37</v>
      </c>
      <c r="F29" s="13">
        <f t="shared" si="1"/>
        <v>50.521</v>
      </c>
      <c r="G29" s="13">
        <f t="shared" si="14"/>
        <v>1515.63</v>
      </c>
      <c r="H29" s="14">
        <f t="shared" si="2"/>
        <v>15</v>
      </c>
      <c r="I29" s="13">
        <f t="shared" ref="I29:O29" si="15">I30+I31+I32+I33</f>
        <v>15</v>
      </c>
      <c r="J29" s="13">
        <f t="shared" si="15"/>
        <v>0</v>
      </c>
      <c r="K29" s="13">
        <f t="shared" si="15"/>
        <v>0</v>
      </c>
      <c r="L29" s="13">
        <f t="shared" si="15"/>
        <v>0</v>
      </c>
      <c r="M29" s="13">
        <f t="shared" si="15"/>
        <v>0</v>
      </c>
      <c r="N29" s="13">
        <f t="shared" si="15"/>
        <v>0</v>
      </c>
      <c r="O29" s="13">
        <f t="shared" si="15"/>
        <v>1500.63</v>
      </c>
      <c r="P29" s="13"/>
    </row>
    <row r="30" ht="42" customHeight="1" spans="1:16">
      <c r="A30" s="10" t="s">
        <v>150</v>
      </c>
      <c r="B30" s="11">
        <v>20</v>
      </c>
      <c r="C30" s="15" t="s">
        <v>176</v>
      </c>
      <c r="D30" s="13">
        <v>15</v>
      </c>
      <c r="E30" s="13">
        <f t="shared" ref="E30:E33" si="16">B30-D30</f>
        <v>5</v>
      </c>
      <c r="F30" s="13">
        <f t="shared" si="1"/>
        <v>75</v>
      </c>
      <c r="G30" s="14">
        <f t="shared" ref="G30:G33" si="17">H30+O30+P30</f>
        <v>15</v>
      </c>
      <c r="H30" s="14">
        <f t="shared" si="2"/>
        <v>15</v>
      </c>
      <c r="I30" s="13">
        <v>15</v>
      </c>
      <c r="J30" s="13"/>
      <c r="K30" s="13"/>
      <c r="L30" s="13"/>
      <c r="M30" s="13"/>
      <c r="N30" s="13"/>
      <c r="O30" s="13"/>
      <c r="P30" s="13"/>
    </row>
    <row r="31" ht="42" customHeight="1" spans="1:16">
      <c r="A31" s="10" t="s">
        <v>35</v>
      </c>
      <c r="B31" s="11">
        <v>1000</v>
      </c>
      <c r="C31" s="15" t="s">
        <v>177</v>
      </c>
      <c r="D31" s="13"/>
      <c r="E31" s="13">
        <f t="shared" si="16"/>
        <v>1000</v>
      </c>
      <c r="F31" s="13">
        <f t="shared" si="1"/>
        <v>0</v>
      </c>
      <c r="G31" s="14">
        <f t="shared" si="17"/>
        <v>0</v>
      </c>
      <c r="H31" s="14">
        <f t="shared" si="2"/>
        <v>0</v>
      </c>
      <c r="I31" s="13"/>
      <c r="J31" s="13"/>
      <c r="K31" s="13"/>
      <c r="L31" s="13"/>
      <c r="M31" s="13"/>
      <c r="N31" s="13"/>
      <c r="O31" s="13"/>
      <c r="P31" s="13"/>
    </row>
    <row r="32" ht="42" customHeight="1" spans="1:16">
      <c r="A32" s="10" t="s">
        <v>148</v>
      </c>
      <c r="B32" s="11">
        <v>1680</v>
      </c>
      <c r="C32" s="15" t="s">
        <v>174</v>
      </c>
      <c r="D32" s="13">
        <v>1500.63</v>
      </c>
      <c r="E32" s="13">
        <f t="shared" si="16"/>
        <v>179.37</v>
      </c>
      <c r="F32" s="13">
        <f t="shared" si="1"/>
        <v>89.3232142857143</v>
      </c>
      <c r="G32" s="14">
        <f t="shared" si="17"/>
        <v>1500.63</v>
      </c>
      <c r="H32" s="14">
        <f t="shared" si="2"/>
        <v>0</v>
      </c>
      <c r="I32" s="13"/>
      <c r="J32" s="13"/>
      <c r="K32" s="13"/>
      <c r="L32" s="13"/>
      <c r="M32" s="13"/>
      <c r="N32" s="13"/>
      <c r="O32" s="13">
        <v>1500.63</v>
      </c>
      <c r="P32" s="13"/>
    </row>
    <row r="33" ht="42" customHeight="1" spans="1:16">
      <c r="A33" s="10" t="s">
        <v>36</v>
      </c>
      <c r="B33" s="11">
        <v>300</v>
      </c>
      <c r="C33" s="15" t="s">
        <v>178</v>
      </c>
      <c r="D33" s="13"/>
      <c r="E33" s="13">
        <f t="shared" si="16"/>
        <v>300</v>
      </c>
      <c r="F33" s="13">
        <f t="shared" si="1"/>
        <v>0</v>
      </c>
      <c r="G33" s="14">
        <f t="shared" si="17"/>
        <v>0</v>
      </c>
      <c r="H33" s="14">
        <f t="shared" si="2"/>
        <v>0</v>
      </c>
      <c r="I33" s="13"/>
      <c r="J33" s="13"/>
      <c r="K33" s="13"/>
      <c r="L33" s="13"/>
      <c r="M33" s="13"/>
      <c r="N33" s="13"/>
      <c r="O33" s="13"/>
      <c r="P33" s="13"/>
    </row>
    <row r="34" ht="42" customHeight="1" spans="1:16">
      <c r="A34" s="205" t="s">
        <v>102</v>
      </c>
      <c r="B34" s="11">
        <f t="shared" ref="B34:G34" si="18">B35+B41</f>
        <v>3000</v>
      </c>
      <c r="C34" s="11">
        <f t="shared" si="18"/>
        <v>0</v>
      </c>
      <c r="D34" s="11">
        <f t="shared" si="18"/>
        <v>1605.66</v>
      </c>
      <c r="E34" s="11">
        <f t="shared" si="18"/>
        <v>1394.34</v>
      </c>
      <c r="F34" s="13">
        <f t="shared" si="1"/>
        <v>53.522</v>
      </c>
      <c r="G34" s="11">
        <f t="shared" si="18"/>
        <v>1605.66</v>
      </c>
      <c r="H34" s="14">
        <f t="shared" si="2"/>
        <v>1525.66</v>
      </c>
      <c r="I34" s="11">
        <f t="shared" ref="I34:P34" si="19">I35+I41</f>
        <v>0</v>
      </c>
      <c r="J34" s="11">
        <f t="shared" si="19"/>
        <v>901.6</v>
      </c>
      <c r="K34" s="11">
        <f t="shared" si="19"/>
        <v>340</v>
      </c>
      <c r="L34" s="11">
        <f t="shared" si="19"/>
        <v>254.06</v>
      </c>
      <c r="M34" s="11">
        <f t="shared" si="19"/>
        <v>30</v>
      </c>
      <c r="N34" s="11">
        <f t="shared" si="19"/>
        <v>0</v>
      </c>
      <c r="O34" s="11">
        <f t="shared" si="19"/>
        <v>0</v>
      </c>
      <c r="P34" s="11">
        <f t="shared" si="19"/>
        <v>80</v>
      </c>
    </row>
    <row r="35" ht="42" customHeight="1" spans="1:16">
      <c r="A35" s="180" t="s">
        <v>189</v>
      </c>
      <c r="B35" s="11">
        <f t="shared" ref="B35:G35" si="20">SUM(B36:B40)</f>
        <v>2350</v>
      </c>
      <c r="C35" s="11">
        <f t="shared" si="20"/>
        <v>0</v>
      </c>
      <c r="D35" s="11">
        <f t="shared" si="20"/>
        <v>1525.66</v>
      </c>
      <c r="E35" s="11">
        <f t="shared" si="20"/>
        <v>824.34</v>
      </c>
      <c r="F35" s="13">
        <f t="shared" si="1"/>
        <v>64.9217021276596</v>
      </c>
      <c r="G35" s="11">
        <f t="shared" si="20"/>
        <v>1525.66</v>
      </c>
      <c r="H35" s="14">
        <f t="shared" si="2"/>
        <v>1525.66</v>
      </c>
      <c r="I35" s="11">
        <f t="shared" ref="I35:P35" si="21">SUM(I36:I40)</f>
        <v>0</v>
      </c>
      <c r="J35" s="11">
        <f t="shared" si="21"/>
        <v>901.6</v>
      </c>
      <c r="K35" s="11">
        <f t="shared" si="21"/>
        <v>340</v>
      </c>
      <c r="L35" s="11">
        <f t="shared" si="21"/>
        <v>254.06</v>
      </c>
      <c r="M35" s="11">
        <f t="shared" si="21"/>
        <v>30</v>
      </c>
      <c r="N35" s="11">
        <f t="shared" si="21"/>
        <v>0</v>
      </c>
      <c r="O35" s="11">
        <f t="shared" si="21"/>
        <v>0</v>
      </c>
      <c r="P35" s="11">
        <f t="shared" si="21"/>
        <v>0</v>
      </c>
    </row>
    <row r="36" ht="42" customHeight="1" spans="1:16">
      <c r="A36" s="10" t="s">
        <v>150</v>
      </c>
      <c r="B36" s="11">
        <v>1020</v>
      </c>
      <c r="C36" s="12" t="s">
        <v>167</v>
      </c>
      <c r="D36" s="13">
        <v>901.6</v>
      </c>
      <c r="E36" s="13">
        <f t="shared" ref="E36:E46" si="22">B36-D36</f>
        <v>118.4</v>
      </c>
      <c r="F36" s="13">
        <f t="shared" si="1"/>
        <v>88.3921568627451</v>
      </c>
      <c r="G36" s="14">
        <f t="shared" ref="G36:G46" si="23">H36+O36+P36</f>
        <v>901.6</v>
      </c>
      <c r="H36" s="14">
        <f t="shared" si="2"/>
        <v>901.6</v>
      </c>
      <c r="I36" s="13">
        <v>0</v>
      </c>
      <c r="J36" s="13">
        <v>901.6</v>
      </c>
      <c r="K36" s="13"/>
      <c r="L36" s="13"/>
      <c r="M36" s="13"/>
      <c r="N36" s="13"/>
      <c r="O36" s="13"/>
      <c r="P36" s="13"/>
    </row>
    <row r="37" ht="42" customHeight="1" spans="1:16">
      <c r="A37" s="10" t="s">
        <v>37</v>
      </c>
      <c r="B37" s="11">
        <v>100</v>
      </c>
      <c r="C37" s="15" t="s">
        <v>168</v>
      </c>
      <c r="D37" s="13">
        <v>29.06</v>
      </c>
      <c r="E37" s="13">
        <f t="shared" si="22"/>
        <v>70.94</v>
      </c>
      <c r="F37" s="13">
        <f t="shared" si="1"/>
        <v>29.06</v>
      </c>
      <c r="G37" s="14">
        <f t="shared" si="23"/>
        <v>29.06</v>
      </c>
      <c r="H37" s="14">
        <f t="shared" si="2"/>
        <v>29.06</v>
      </c>
      <c r="I37" s="13">
        <v>0</v>
      </c>
      <c r="J37" s="13"/>
      <c r="K37" s="13"/>
      <c r="L37" s="13">
        <v>29.06</v>
      </c>
      <c r="M37" s="13"/>
      <c r="N37" s="13"/>
      <c r="O37" s="13"/>
      <c r="P37" s="13"/>
    </row>
    <row r="38" ht="42" customHeight="1" spans="1:16">
      <c r="A38" s="10" t="s">
        <v>150</v>
      </c>
      <c r="B38" s="11">
        <v>400</v>
      </c>
      <c r="C38" s="12" t="s">
        <v>164</v>
      </c>
      <c r="D38" s="13">
        <v>340</v>
      </c>
      <c r="E38" s="13">
        <f t="shared" si="22"/>
        <v>60</v>
      </c>
      <c r="F38" s="13">
        <f t="shared" si="1"/>
        <v>85</v>
      </c>
      <c r="G38" s="14">
        <f t="shared" si="23"/>
        <v>340</v>
      </c>
      <c r="H38" s="14">
        <f t="shared" si="2"/>
        <v>340</v>
      </c>
      <c r="I38" s="13"/>
      <c r="J38" s="13"/>
      <c r="K38" s="13">
        <v>340</v>
      </c>
      <c r="L38" s="13"/>
      <c r="M38" s="13"/>
      <c r="N38" s="13"/>
      <c r="O38" s="13"/>
      <c r="P38" s="13"/>
    </row>
    <row r="39" ht="42" customHeight="1" spans="1:16">
      <c r="A39" s="10" t="s">
        <v>37</v>
      </c>
      <c r="B39" s="11">
        <v>780</v>
      </c>
      <c r="C39" s="15" t="s">
        <v>163</v>
      </c>
      <c r="D39" s="13">
        <v>230</v>
      </c>
      <c r="E39" s="13">
        <f t="shared" si="22"/>
        <v>550</v>
      </c>
      <c r="F39" s="13">
        <f t="shared" si="1"/>
        <v>29.4871794871795</v>
      </c>
      <c r="G39" s="14">
        <f t="shared" si="23"/>
        <v>230</v>
      </c>
      <c r="H39" s="14">
        <f t="shared" si="2"/>
        <v>230</v>
      </c>
      <c r="I39" s="13"/>
      <c r="J39" s="13"/>
      <c r="K39" s="13"/>
      <c r="L39" s="13">
        <v>200</v>
      </c>
      <c r="M39" s="13">
        <v>30</v>
      </c>
      <c r="N39" s="13"/>
      <c r="O39" s="13"/>
      <c r="P39" s="13"/>
    </row>
    <row r="40" ht="42" customHeight="1" spans="1:16">
      <c r="A40" s="10" t="s">
        <v>150</v>
      </c>
      <c r="B40" s="11">
        <v>50</v>
      </c>
      <c r="C40" s="15" t="s">
        <v>169</v>
      </c>
      <c r="D40" s="13">
        <v>25</v>
      </c>
      <c r="E40" s="13">
        <f t="shared" si="22"/>
        <v>25</v>
      </c>
      <c r="F40" s="13">
        <f t="shared" si="1"/>
        <v>50</v>
      </c>
      <c r="G40" s="14">
        <f t="shared" si="23"/>
        <v>25</v>
      </c>
      <c r="H40" s="14">
        <f t="shared" si="2"/>
        <v>25</v>
      </c>
      <c r="I40" s="13">
        <v>0</v>
      </c>
      <c r="J40" s="13"/>
      <c r="K40" s="13"/>
      <c r="L40" s="13">
        <v>25</v>
      </c>
      <c r="M40" s="13"/>
      <c r="N40" s="13"/>
      <c r="O40" s="13"/>
      <c r="P40" s="13"/>
    </row>
    <row r="41" ht="42" customHeight="1" spans="1:16">
      <c r="A41" s="180" t="s">
        <v>190</v>
      </c>
      <c r="B41" s="11">
        <f>SUM(B42:B46)</f>
        <v>650</v>
      </c>
      <c r="C41" s="11">
        <f>SUM(C42:C46)</f>
        <v>0</v>
      </c>
      <c r="D41" s="13">
        <f>SUM(D42:D46)</f>
        <v>80</v>
      </c>
      <c r="E41" s="13">
        <f t="shared" si="22"/>
        <v>570</v>
      </c>
      <c r="F41" s="13">
        <f t="shared" si="1"/>
        <v>12.3076923076923</v>
      </c>
      <c r="G41" s="14">
        <f t="shared" si="23"/>
        <v>80</v>
      </c>
      <c r="H41" s="14">
        <f t="shared" si="2"/>
        <v>0</v>
      </c>
      <c r="I41" s="11">
        <f t="shared" ref="I41:P41" si="24">SUM(I42:I46)</f>
        <v>0</v>
      </c>
      <c r="J41" s="11">
        <f t="shared" si="24"/>
        <v>0</v>
      </c>
      <c r="K41" s="11">
        <f t="shared" si="24"/>
        <v>0</v>
      </c>
      <c r="L41" s="11">
        <f t="shared" si="24"/>
        <v>0</v>
      </c>
      <c r="M41" s="11">
        <f t="shared" si="24"/>
        <v>0</v>
      </c>
      <c r="N41" s="11">
        <f t="shared" si="24"/>
        <v>0</v>
      </c>
      <c r="O41" s="11">
        <f t="shared" si="24"/>
        <v>0</v>
      </c>
      <c r="P41" s="11">
        <f t="shared" si="24"/>
        <v>80</v>
      </c>
    </row>
    <row r="42" ht="42" customHeight="1" spans="1:16">
      <c r="A42" s="10" t="s">
        <v>191</v>
      </c>
      <c r="B42" s="11">
        <v>150</v>
      </c>
      <c r="C42" s="15" t="s">
        <v>192</v>
      </c>
      <c r="D42" s="13"/>
      <c r="E42" s="13">
        <f t="shared" si="22"/>
        <v>150</v>
      </c>
      <c r="F42" s="13">
        <f t="shared" si="1"/>
        <v>0</v>
      </c>
      <c r="G42" s="14">
        <f t="shared" si="23"/>
        <v>0</v>
      </c>
      <c r="H42" s="14">
        <f t="shared" si="2"/>
        <v>0</v>
      </c>
      <c r="I42" s="13"/>
      <c r="J42" s="13"/>
      <c r="K42" s="13"/>
      <c r="L42" s="13"/>
      <c r="M42" s="13"/>
      <c r="N42" s="13"/>
      <c r="O42" s="13"/>
      <c r="P42" s="13"/>
    </row>
    <row r="43" ht="42" customHeight="1" spans="1:16">
      <c r="A43" s="10" t="s">
        <v>150</v>
      </c>
      <c r="B43" s="11">
        <v>140</v>
      </c>
      <c r="C43" s="15" t="s">
        <v>193</v>
      </c>
      <c r="D43" s="13"/>
      <c r="E43" s="13">
        <f t="shared" si="22"/>
        <v>140</v>
      </c>
      <c r="F43" s="13">
        <f t="shared" si="1"/>
        <v>0</v>
      </c>
      <c r="G43" s="14">
        <f t="shared" si="23"/>
        <v>0</v>
      </c>
      <c r="H43" s="14">
        <f t="shared" si="2"/>
        <v>0</v>
      </c>
      <c r="I43" s="13"/>
      <c r="J43" s="13"/>
      <c r="K43" s="13"/>
      <c r="L43" s="13"/>
      <c r="M43" s="13"/>
      <c r="N43" s="13"/>
      <c r="O43" s="13"/>
      <c r="P43" s="13"/>
    </row>
    <row r="44" ht="42" customHeight="1" spans="1:16">
      <c r="A44" s="10" t="s">
        <v>150</v>
      </c>
      <c r="B44" s="11">
        <v>100</v>
      </c>
      <c r="C44" s="15" t="s">
        <v>194</v>
      </c>
      <c r="D44" s="13"/>
      <c r="E44" s="13">
        <f t="shared" si="22"/>
        <v>100</v>
      </c>
      <c r="F44" s="13">
        <f t="shared" si="1"/>
        <v>0</v>
      </c>
      <c r="G44" s="14">
        <f t="shared" si="23"/>
        <v>0</v>
      </c>
      <c r="H44" s="14">
        <f t="shared" si="2"/>
        <v>0</v>
      </c>
      <c r="I44" s="13"/>
      <c r="J44" s="13"/>
      <c r="K44" s="13"/>
      <c r="L44" s="13"/>
      <c r="M44" s="13"/>
      <c r="N44" s="13"/>
      <c r="O44" s="13"/>
      <c r="P44" s="13"/>
    </row>
    <row r="45" ht="42" customHeight="1" spans="1:16">
      <c r="A45" s="10" t="s">
        <v>195</v>
      </c>
      <c r="B45" s="11">
        <v>100</v>
      </c>
      <c r="C45" s="15" t="s">
        <v>196</v>
      </c>
      <c r="D45" s="13"/>
      <c r="E45" s="13">
        <f t="shared" si="22"/>
        <v>100</v>
      </c>
      <c r="F45" s="13">
        <f t="shared" si="1"/>
        <v>0</v>
      </c>
      <c r="G45" s="14">
        <f t="shared" si="23"/>
        <v>0</v>
      </c>
      <c r="H45" s="14">
        <f t="shared" si="2"/>
        <v>0</v>
      </c>
      <c r="I45" s="13"/>
      <c r="J45" s="13"/>
      <c r="K45" s="13"/>
      <c r="L45" s="13"/>
      <c r="M45" s="13"/>
      <c r="N45" s="13"/>
      <c r="O45" s="13"/>
      <c r="P45" s="13"/>
    </row>
    <row r="46" ht="42" customHeight="1" spans="1:16">
      <c r="A46" s="10" t="s">
        <v>197</v>
      </c>
      <c r="B46" s="11">
        <v>160</v>
      </c>
      <c r="C46" s="15" t="s">
        <v>198</v>
      </c>
      <c r="D46" s="13">
        <v>80</v>
      </c>
      <c r="E46" s="13">
        <f t="shared" si="22"/>
        <v>80</v>
      </c>
      <c r="F46" s="13">
        <f t="shared" si="1"/>
        <v>50</v>
      </c>
      <c r="G46" s="14">
        <f t="shared" si="23"/>
        <v>80</v>
      </c>
      <c r="H46" s="14">
        <f t="shared" si="2"/>
        <v>0</v>
      </c>
      <c r="I46" s="13"/>
      <c r="J46" s="13"/>
      <c r="K46" s="13"/>
      <c r="L46" s="13"/>
      <c r="M46" s="13"/>
      <c r="N46" s="13"/>
      <c r="O46" s="13"/>
      <c r="P46" s="13">
        <v>80</v>
      </c>
    </row>
    <row r="47" ht="43" customHeight="1" spans="1:16">
      <c r="A47" s="206" t="s">
        <v>27</v>
      </c>
      <c r="B47" s="177">
        <f t="shared" ref="B47:P47" si="25">B34+B6</f>
        <v>25022.5</v>
      </c>
      <c r="C47" s="177">
        <f t="shared" si="25"/>
        <v>0</v>
      </c>
      <c r="D47" s="178">
        <f t="shared" si="25"/>
        <v>18236.1</v>
      </c>
      <c r="E47" s="178">
        <f t="shared" si="25"/>
        <v>6786.4</v>
      </c>
      <c r="F47" s="178">
        <f t="shared" si="1"/>
        <v>72.8788090718353</v>
      </c>
      <c r="G47" s="178">
        <f t="shared" si="25"/>
        <v>18236.101</v>
      </c>
      <c r="H47" s="178">
        <f t="shared" si="25"/>
        <v>16046.7</v>
      </c>
      <c r="I47" s="178">
        <f t="shared" si="25"/>
        <v>4630.9</v>
      </c>
      <c r="J47" s="178">
        <f t="shared" si="25"/>
        <v>7404.6</v>
      </c>
      <c r="K47" s="178">
        <f t="shared" si="25"/>
        <v>2178.5</v>
      </c>
      <c r="L47" s="178">
        <f t="shared" si="25"/>
        <v>445.76</v>
      </c>
      <c r="M47" s="178">
        <f t="shared" si="25"/>
        <v>550</v>
      </c>
      <c r="N47" s="178">
        <f t="shared" si="25"/>
        <v>836.94</v>
      </c>
      <c r="O47" s="178">
        <f t="shared" si="25"/>
        <v>2093.16</v>
      </c>
      <c r="P47" s="178">
        <f t="shared" si="25"/>
        <v>96.241</v>
      </c>
    </row>
    <row r="48" ht="53" customHeight="1" spans="1:16">
      <c r="A48" s="207" t="s">
        <v>209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</row>
    <row r="49" ht="40" customHeight="1" spans="1:16">
      <c r="A49" s="209" t="s">
        <v>170</v>
      </c>
      <c r="B49" s="210">
        <f t="shared" ref="B49:P49" si="26">SUM(B50:B61)</f>
        <v>25022.5</v>
      </c>
      <c r="C49" s="211"/>
      <c r="D49" s="211">
        <f t="shared" si="26"/>
        <v>18236.1</v>
      </c>
      <c r="E49" s="211">
        <f t="shared" si="26"/>
        <v>6786.4</v>
      </c>
      <c r="F49" s="211">
        <f t="shared" ref="F49:F61" si="27">D49/B49*100</f>
        <v>72.8788090718354</v>
      </c>
      <c r="G49" s="211">
        <f t="shared" si="26"/>
        <v>18236.101</v>
      </c>
      <c r="H49" s="211">
        <f t="shared" si="26"/>
        <v>16046.7</v>
      </c>
      <c r="I49" s="211">
        <f t="shared" si="26"/>
        <v>4630.9</v>
      </c>
      <c r="J49" s="211">
        <f t="shared" si="26"/>
        <v>7404.6</v>
      </c>
      <c r="K49" s="211">
        <f t="shared" si="26"/>
        <v>2178.5</v>
      </c>
      <c r="L49" s="211">
        <f t="shared" si="26"/>
        <v>445.76</v>
      </c>
      <c r="M49" s="211">
        <f t="shared" si="26"/>
        <v>550</v>
      </c>
      <c r="N49" s="211">
        <f t="shared" si="26"/>
        <v>836.94</v>
      </c>
      <c r="O49" s="211">
        <f t="shared" si="26"/>
        <v>2093.16</v>
      </c>
      <c r="P49" s="211">
        <f t="shared" si="26"/>
        <v>96.241</v>
      </c>
    </row>
    <row r="50" ht="40" customHeight="1" spans="1:16">
      <c r="A50" s="10" t="s">
        <v>148</v>
      </c>
      <c r="B50" s="13">
        <f t="shared" ref="B50:P50" si="28">B9+B20+B32</f>
        <v>3177</v>
      </c>
      <c r="C50" s="13"/>
      <c r="D50" s="13">
        <f t="shared" si="28"/>
        <v>2093.16</v>
      </c>
      <c r="E50" s="13">
        <f t="shared" si="28"/>
        <v>1083.84</v>
      </c>
      <c r="F50" s="13">
        <f t="shared" si="27"/>
        <v>65.8847969782814</v>
      </c>
      <c r="G50" s="13">
        <f t="shared" si="28"/>
        <v>2093.16</v>
      </c>
      <c r="H50" s="13">
        <f t="shared" si="28"/>
        <v>0</v>
      </c>
      <c r="I50" s="13">
        <f t="shared" si="28"/>
        <v>0</v>
      </c>
      <c r="J50" s="13">
        <f t="shared" si="28"/>
        <v>0</v>
      </c>
      <c r="K50" s="13">
        <f t="shared" si="28"/>
        <v>0</v>
      </c>
      <c r="L50" s="13">
        <f t="shared" si="28"/>
        <v>0</v>
      </c>
      <c r="M50" s="13">
        <f t="shared" si="28"/>
        <v>0</v>
      </c>
      <c r="N50" s="13">
        <f t="shared" si="28"/>
        <v>0</v>
      </c>
      <c r="O50" s="13">
        <f t="shared" si="28"/>
        <v>2093.16</v>
      </c>
      <c r="P50" s="13">
        <f t="shared" si="28"/>
        <v>0</v>
      </c>
    </row>
    <row r="51" ht="40" customHeight="1" spans="1:16">
      <c r="A51" s="10" t="s">
        <v>150</v>
      </c>
      <c r="B51" s="13">
        <f t="shared" ref="B51:P51" si="29">B10+B16+B21+B28+B30+B43+B44+B25+B27+B36+B38+B40</f>
        <v>11849.5</v>
      </c>
      <c r="C51" s="13"/>
      <c r="D51" s="13">
        <f t="shared" si="29"/>
        <v>11366</v>
      </c>
      <c r="E51" s="13">
        <f t="shared" si="29"/>
        <v>483.5</v>
      </c>
      <c r="F51" s="13">
        <f t="shared" si="27"/>
        <v>95.9196590573442</v>
      </c>
      <c r="G51" s="13">
        <f t="shared" si="29"/>
        <v>11366</v>
      </c>
      <c r="H51" s="13">
        <f t="shared" si="29"/>
        <v>11366</v>
      </c>
      <c r="I51" s="13">
        <f t="shared" si="29"/>
        <v>4630.9</v>
      </c>
      <c r="J51" s="13">
        <f t="shared" si="29"/>
        <v>4531.6</v>
      </c>
      <c r="K51" s="13">
        <f t="shared" si="29"/>
        <v>2178.5</v>
      </c>
      <c r="L51" s="13">
        <f t="shared" si="29"/>
        <v>25</v>
      </c>
      <c r="M51" s="13">
        <f t="shared" si="29"/>
        <v>0</v>
      </c>
      <c r="N51" s="13">
        <f t="shared" si="29"/>
        <v>0</v>
      </c>
      <c r="O51" s="13">
        <f t="shared" si="29"/>
        <v>0</v>
      </c>
      <c r="P51" s="13">
        <f t="shared" si="29"/>
        <v>0</v>
      </c>
    </row>
    <row r="52" ht="40" customHeight="1" spans="1:16">
      <c r="A52" s="10" t="s">
        <v>152</v>
      </c>
      <c r="B52" s="13">
        <f t="shared" ref="B52:P52" si="30">B11+B17+B22</f>
        <v>2453</v>
      </c>
      <c r="C52" s="13"/>
      <c r="D52" s="13">
        <f t="shared" si="30"/>
        <v>0</v>
      </c>
      <c r="E52" s="13">
        <f t="shared" si="30"/>
        <v>2453</v>
      </c>
      <c r="F52" s="13">
        <f t="shared" si="27"/>
        <v>0</v>
      </c>
      <c r="G52" s="13">
        <f t="shared" si="30"/>
        <v>0</v>
      </c>
      <c r="H52" s="13">
        <f t="shared" si="30"/>
        <v>0</v>
      </c>
      <c r="I52" s="13">
        <f t="shared" si="30"/>
        <v>0</v>
      </c>
      <c r="J52" s="13">
        <f t="shared" si="30"/>
        <v>0</v>
      </c>
      <c r="K52" s="13">
        <f t="shared" si="30"/>
        <v>0</v>
      </c>
      <c r="L52" s="13">
        <f t="shared" si="30"/>
        <v>0</v>
      </c>
      <c r="M52" s="13">
        <f t="shared" si="30"/>
        <v>0</v>
      </c>
      <c r="N52" s="13">
        <f t="shared" si="30"/>
        <v>0</v>
      </c>
      <c r="O52" s="13">
        <f t="shared" si="30"/>
        <v>0</v>
      </c>
      <c r="P52" s="13">
        <f t="shared" si="30"/>
        <v>0</v>
      </c>
    </row>
    <row r="53" ht="40" customHeight="1" spans="1:16">
      <c r="A53" s="10" t="s">
        <v>154</v>
      </c>
      <c r="B53" s="13">
        <f t="shared" ref="B53:P53" si="31">B12</f>
        <v>567</v>
      </c>
      <c r="C53" s="13"/>
      <c r="D53" s="13">
        <f t="shared" si="31"/>
        <v>567</v>
      </c>
      <c r="E53" s="13">
        <f t="shared" si="31"/>
        <v>0</v>
      </c>
      <c r="F53" s="13">
        <f t="shared" si="27"/>
        <v>100</v>
      </c>
      <c r="G53" s="13">
        <f t="shared" si="31"/>
        <v>567</v>
      </c>
      <c r="H53" s="13">
        <f t="shared" si="31"/>
        <v>567</v>
      </c>
      <c r="I53" s="13">
        <f t="shared" si="31"/>
        <v>0</v>
      </c>
      <c r="J53" s="13">
        <f t="shared" si="31"/>
        <v>0</v>
      </c>
      <c r="K53" s="13">
        <f t="shared" si="31"/>
        <v>0</v>
      </c>
      <c r="L53" s="13">
        <f t="shared" si="31"/>
        <v>0</v>
      </c>
      <c r="M53" s="13">
        <f t="shared" si="31"/>
        <v>0</v>
      </c>
      <c r="N53" s="13">
        <f t="shared" si="31"/>
        <v>567</v>
      </c>
      <c r="O53" s="13">
        <f t="shared" si="31"/>
        <v>0</v>
      </c>
      <c r="P53" s="13">
        <f t="shared" si="31"/>
        <v>0</v>
      </c>
    </row>
    <row r="54" ht="40" customHeight="1" spans="1:16">
      <c r="A54" s="10" t="s">
        <v>36</v>
      </c>
      <c r="B54" s="13">
        <f t="shared" ref="B54:P54" si="32">B13+B33</f>
        <v>856</v>
      </c>
      <c r="C54" s="13"/>
      <c r="D54" s="13">
        <f t="shared" si="32"/>
        <v>286.5</v>
      </c>
      <c r="E54" s="13">
        <f t="shared" si="32"/>
        <v>569.5</v>
      </c>
      <c r="F54" s="13">
        <f t="shared" si="27"/>
        <v>33.4696261682243</v>
      </c>
      <c r="G54" s="13">
        <f t="shared" si="32"/>
        <v>286.501</v>
      </c>
      <c r="H54" s="13">
        <f t="shared" si="32"/>
        <v>270.26</v>
      </c>
      <c r="I54" s="13">
        <f t="shared" si="32"/>
        <v>0</v>
      </c>
      <c r="J54" s="13">
        <f t="shared" si="32"/>
        <v>0</v>
      </c>
      <c r="K54" s="13">
        <f t="shared" si="32"/>
        <v>0</v>
      </c>
      <c r="L54" s="13">
        <f t="shared" si="32"/>
        <v>191.7</v>
      </c>
      <c r="M54" s="13">
        <f t="shared" si="32"/>
        <v>0</v>
      </c>
      <c r="N54" s="13">
        <f t="shared" si="32"/>
        <v>78.56</v>
      </c>
      <c r="O54" s="13">
        <f t="shared" si="32"/>
        <v>0</v>
      </c>
      <c r="P54" s="13">
        <f t="shared" si="32"/>
        <v>16.241</v>
      </c>
    </row>
    <row r="55" ht="40" customHeight="1" spans="1:16">
      <c r="A55" s="10" t="s">
        <v>33</v>
      </c>
      <c r="B55" s="13">
        <f t="shared" ref="B55:P55" si="33">B14+B24</f>
        <v>3260</v>
      </c>
      <c r="C55" s="13"/>
      <c r="D55" s="13">
        <f t="shared" si="33"/>
        <v>3064.38</v>
      </c>
      <c r="E55" s="13">
        <f t="shared" si="33"/>
        <v>195.62</v>
      </c>
      <c r="F55" s="13">
        <f t="shared" si="27"/>
        <v>93.9993865030675</v>
      </c>
      <c r="G55" s="13">
        <f t="shared" si="33"/>
        <v>3064.38</v>
      </c>
      <c r="H55" s="13">
        <f t="shared" si="33"/>
        <v>3064.38</v>
      </c>
      <c r="I55" s="13">
        <f t="shared" si="33"/>
        <v>0</v>
      </c>
      <c r="J55" s="13">
        <f t="shared" si="33"/>
        <v>2873</v>
      </c>
      <c r="K55" s="13">
        <f t="shared" si="33"/>
        <v>0</v>
      </c>
      <c r="L55" s="13">
        <f t="shared" si="33"/>
        <v>0</v>
      </c>
      <c r="M55" s="13">
        <f t="shared" si="33"/>
        <v>0</v>
      </c>
      <c r="N55" s="13">
        <f t="shared" si="33"/>
        <v>191.38</v>
      </c>
      <c r="O55" s="13">
        <f t="shared" si="33"/>
        <v>0</v>
      </c>
      <c r="P55" s="13">
        <f t="shared" si="33"/>
        <v>0</v>
      </c>
    </row>
    <row r="56" ht="40" customHeight="1" spans="1:16">
      <c r="A56" s="10" t="s">
        <v>199</v>
      </c>
      <c r="B56" s="13">
        <f t="shared" ref="B56:P56" si="34">B18</f>
        <v>50</v>
      </c>
      <c r="C56" s="13"/>
      <c r="D56" s="13">
        <f t="shared" si="34"/>
        <v>0</v>
      </c>
      <c r="E56" s="13">
        <f t="shared" si="34"/>
        <v>50</v>
      </c>
      <c r="F56" s="13">
        <f t="shared" si="27"/>
        <v>0</v>
      </c>
      <c r="G56" s="13">
        <f t="shared" si="34"/>
        <v>0</v>
      </c>
      <c r="H56" s="13">
        <f t="shared" si="34"/>
        <v>0</v>
      </c>
      <c r="I56" s="13">
        <f t="shared" si="34"/>
        <v>0</v>
      </c>
      <c r="J56" s="13">
        <f t="shared" si="34"/>
        <v>0</v>
      </c>
      <c r="K56" s="13">
        <f t="shared" si="34"/>
        <v>0</v>
      </c>
      <c r="L56" s="13">
        <f t="shared" si="34"/>
        <v>0</v>
      </c>
      <c r="M56" s="13">
        <f t="shared" si="34"/>
        <v>0</v>
      </c>
      <c r="N56" s="13">
        <f t="shared" si="34"/>
        <v>0</v>
      </c>
      <c r="O56" s="13">
        <f t="shared" si="34"/>
        <v>0</v>
      </c>
      <c r="P56" s="13">
        <f t="shared" si="34"/>
        <v>0</v>
      </c>
    </row>
    <row r="57" ht="40" customHeight="1" spans="1:16">
      <c r="A57" s="10" t="s">
        <v>37</v>
      </c>
      <c r="B57" s="13">
        <f t="shared" ref="B57:P57" si="35">B26+B37+B39</f>
        <v>1400</v>
      </c>
      <c r="C57" s="13"/>
      <c r="D57" s="13">
        <f t="shared" si="35"/>
        <v>779.06</v>
      </c>
      <c r="E57" s="13">
        <f t="shared" si="35"/>
        <v>620.94</v>
      </c>
      <c r="F57" s="13">
        <f t="shared" si="27"/>
        <v>55.6471428571429</v>
      </c>
      <c r="G57" s="13">
        <f t="shared" si="35"/>
        <v>779.06</v>
      </c>
      <c r="H57" s="13">
        <f t="shared" si="35"/>
        <v>779.06</v>
      </c>
      <c r="I57" s="13">
        <f t="shared" si="35"/>
        <v>0</v>
      </c>
      <c r="J57" s="13">
        <f t="shared" si="35"/>
        <v>0</v>
      </c>
      <c r="K57" s="13">
        <f t="shared" si="35"/>
        <v>0</v>
      </c>
      <c r="L57" s="13">
        <f t="shared" si="35"/>
        <v>229.06</v>
      </c>
      <c r="M57" s="13">
        <f t="shared" si="35"/>
        <v>550</v>
      </c>
      <c r="N57" s="13">
        <f t="shared" si="35"/>
        <v>0</v>
      </c>
      <c r="O57" s="13">
        <f t="shared" si="35"/>
        <v>0</v>
      </c>
      <c r="P57" s="13">
        <f t="shared" si="35"/>
        <v>0</v>
      </c>
    </row>
    <row r="58" ht="40" customHeight="1" spans="1:16">
      <c r="A58" s="10" t="s">
        <v>191</v>
      </c>
      <c r="B58" s="13">
        <f t="shared" ref="B58:P58" si="36">B42</f>
        <v>150</v>
      </c>
      <c r="C58" s="13"/>
      <c r="D58" s="13">
        <f t="shared" si="36"/>
        <v>0</v>
      </c>
      <c r="E58" s="13">
        <f t="shared" si="36"/>
        <v>150</v>
      </c>
      <c r="F58" s="13">
        <f t="shared" si="27"/>
        <v>0</v>
      </c>
      <c r="G58" s="13">
        <f t="shared" si="36"/>
        <v>0</v>
      </c>
      <c r="H58" s="13">
        <f t="shared" si="36"/>
        <v>0</v>
      </c>
      <c r="I58" s="13">
        <f t="shared" si="36"/>
        <v>0</v>
      </c>
      <c r="J58" s="13">
        <f t="shared" si="36"/>
        <v>0</v>
      </c>
      <c r="K58" s="13">
        <f t="shared" si="36"/>
        <v>0</v>
      </c>
      <c r="L58" s="13">
        <f t="shared" si="36"/>
        <v>0</v>
      </c>
      <c r="M58" s="13">
        <f t="shared" si="36"/>
        <v>0</v>
      </c>
      <c r="N58" s="13">
        <f t="shared" si="36"/>
        <v>0</v>
      </c>
      <c r="O58" s="13">
        <f t="shared" si="36"/>
        <v>0</v>
      </c>
      <c r="P58" s="13">
        <f t="shared" si="36"/>
        <v>0</v>
      </c>
    </row>
    <row r="59" ht="38" customHeight="1" spans="1:16">
      <c r="A59" s="10" t="s">
        <v>195</v>
      </c>
      <c r="B59" s="13">
        <f t="shared" ref="B59:P59" si="37">B45</f>
        <v>100</v>
      </c>
      <c r="C59" s="13"/>
      <c r="D59" s="13">
        <f t="shared" si="37"/>
        <v>0</v>
      </c>
      <c r="E59" s="13">
        <f t="shared" si="37"/>
        <v>100</v>
      </c>
      <c r="F59" s="13">
        <f t="shared" si="27"/>
        <v>0</v>
      </c>
      <c r="G59" s="13">
        <f t="shared" si="37"/>
        <v>0</v>
      </c>
      <c r="H59" s="13">
        <f t="shared" si="37"/>
        <v>0</v>
      </c>
      <c r="I59" s="13">
        <f t="shared" si="37"/>
        <v>0</v>
      </c>
      <c r="J59" s="13">
        <f t="shared" si="37"/>
        <v>0</v>
      </c>
      <c r="K59" s="13">
        <f t="shared" si="37"/>
        <v>0</v>
      </c>
      <c r="L59" s="13">
        <f t="shared" si="37"/>
        <v>0</v>
      </c>
      <c r="M59" s="13">
        <f t="shared" si="37"/>
        <v>0</v>
      </c>
      <c r="N59" s="13">
        <f t="shared" si="37"/>
        <v>0</v>
      </c>
      <c r="O59" s="13">
        <f t="shared" si="37"/>
        <v>0</v>
      </c>
      <c r="P59" s="13">
        <f t="shared" si="37"/>
        <v>0</v>
      </c>
    </row>
    <row r="60" ht="38" customHeight="1" spans="1:16">
      <c r="A60" s="10" t="s">
        <v>35</v>
      </c>
      <c r="B60" s="13">
        <f t="shared" ref="B60:P60" si="38">B31</f>
        <v>1000</v>
      </c>
      <c r="C60" s="13"/>
      <c r="D60" s="13">
        <f t="shared" si="38"/>
        <v>0</v>
      </c>
      <c r="E60" s="13">
        <f t="shared" si="38"/>
        <v>1000</v>
      </c>
      <c r="F60" s="13">
        <f t="shared" si="27"/>
        <v>0</v>
      </c>
      <c r="G60" s="13">
        <f t="shared" si="38"/>
        <v>0</v>
      </c>
      <c r="H60" s="13">
        <f t="shared" si="38"/>
        <v>0</v>
      </c>
      <c r="I60" s="13">
        <f t="shared" si="38"/>
        <v>0</v>
      </c>
      <c r="J60" s="13">
        <f t="shared" si="38"/>
        <v>0</v>
      </c>
      <c r="K60" s="13">
        <f t="shared" si="38"/>
        <v>0</v>
      </c>
      <c r="L60" s="13">
        <f t="shared" si="38"/>
        <v>0</v>
      </c>
      <c r="M60" s="13">
        <f t="shared" si="38"/>
        <v>0</v>
      </c>
      <c r="N60" s="13">
        <f t="shared" si="38"/>
        <v>0</v>
      </c>
      <c r="O60" s="13">
        <f t="shared" si="38"/>
        <v>0</v>
      </c>
      <c r="P60" s="13">
        <f t="shared" si="38"/>
        <v>0</v>
      </c>
    </row>
    <row r="61" ht="38" customHeight="1" spans="1:16">
      <c r="A61" s="10" t="s">
        <v>197</v>
      </c>
      <c r="B61" s="13">
        <f t="shared" ref="B61:P61" si="39">B46</f>
        <v>160</v>
      </c>
      <c r="C61" s="13"/>
      <c r="D61" s="13">
        <f t="shared" si="39"/>
        <v>80</v>
      </c>
      <c r="E61" s="13">
        <f t="shared" si="39"/>
        <v>80</v>
      </c>
      <c r="F61" s="13">
        <f t="shared" si="27"/>
        <v>50</v>
      </c>
      <c r="G61" s="13">
        <f t="shared" si="39"/>
        <v>80</v>
      </c>
      <c r="H61" s="13">
        <f t="shared" si="39"/>
        <v>0</v>
      </c>
      <c r="I61" s="13">
        <f t="shared" si="39"/>
        <v>0</v>
      </c>
      <c r="J61" s="13">
        <f t="shared" si="39"/>
        <v>0</v>
      </c>
      <c r="K61" s="13">
        <f t="shared" si="39"/>
        <v>0</v>
      </c>
      <c r="L61" s="13">
        <f t="shared" si="39"/>
        <v>0</v>
      </c>
      <c r="M61" s="13">
        <f t="shared" si="39"/>
        <v>0</v>
      </c>
      <c r="N61" s="13">
        <f t="shared" si="39"/>
        <v>0</v>
      </c>
      <c r="O61" s="13">
        <f t="shared" si="39"/>
        <v>0</v>
      </c>
      <c r="P61" s="13">
        <f t="shared" si="39"/>
        <v>80</v>
      </c>
    </row>
  </sheetData>
  <mergeCells count="15">
    <mergeCell ref="A1:P1"/>
    <mergeCell ref="C2:K2"/>
    <mergeCell ref="O2:P2"/>
    <mergeCell ref="G3:P3"/>
    <mergeCell ref="H4:N4"/>
    <mergeCell ref="A48:P48"/>
    <mergeCell ref="A3:A5"/>
    <mergeCell ref="B3:B5"/>
    <mergeCell ref="C3:C5"/>
    <mergeCell ref="D3:D5"/>
    <mergeCell ref="E3:E5"/>
    <mergeCell ref="F3:F5"/>
    <mergeCell ref="G4:G5"/>
    <mergeCell ref="O4:O5"/>
    <mergeCell ref="P4:P5"/>
  </mergeCells>
  <pageMargins left="0.609027777777778" right="0.354166666666667" top="0.393055555555556" bottom="0.196527777777778" header="0.511805555555556" footer="0.511805555555556"/>
  <pageSetup paperSize="9" scale="52" fitToHeight="0" orientation="landscape" horizont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"/>
  <sheetViews>
    <sheetView showZeros="0" zoomScale="70" zoomScaleNormal="70" workbookViewId="0">
      <pane xSplit="1" ySplit="5" topLeftCell="B6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34.8916666666667" customWidth="1"/>
    <col min="2" max="2" width="13.1833333333333" customWidth="1"/>
    <col min="3" max="3" width="35.5916666666667" customWidth="1"/>
    <col min="4" max="4" width="13.1916666666667" customWidth="1"/>
    <col min="5" max="5" width="12.0833333333333" customWidth="1"/>
    <col min="6" max="6" width="10.75" customWidth="1"/>
    <col min="7" max="7" width="13.025" customWidth="1"/>
    <col min="8" max="8" width="13.1916666666667" customWidth="1"/>
    <col min="9" max="9" width="12.25" customWidth="1"/>
    <col min="10" max="10" width="12.9166666666667" customWidth="1"/>
    <col min="11" max="11" width="13.1666666666667" customWidth="1"/>
    <col min="12" max="12" width="10.5916666666667" customWidth="1"/>
    <col min="13" max="13" width="11.25" customWidth="1"/>
    <col min="14" max="14" width="12.5" customWidth="1"/>
    <col min="15" max="15" width="12.15" customWidth="1"/>
    <col min="16" max="16" width="10.75" customWidth="1"/>
  </cols>
  <sheetData>
    <row r="1" ht="38" customHeight="1" spans="1:16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8" customHeight="1" spans="1:16">
      <c r="A2" s="2" t="s">
        <v>118</v>
      </c>
      <c r="B2" s="3"/>
      <c r="C2" s="4" t="s">
        <v>210</v>
      </c>
      <c r="D2" s="4"/>
      <c r="E2" s="4"/>
      <c r="F2" s="4"/>
      <c r="G2" s="4"/>
      <c r="H2" s="4"/>
      <c r="I2" s="4"/>
      <c r="J2" s="4"/>
      <c r="K2" s="4"/>
      <c r="L2" s="16"/>
      <c r="M2" s="16"/>
      <c r="N2" s="16"/>
      <c r="O2" s="17" t="s">
        <v>3</v>
      </c>
      <c r="P2" s="17"/>
    </row>
    <row r="3" ht="23" customHeight="1" spans="1:16">
      <c r="A3" s="174" t="s">
        <v>134</v>
      </c>
      <c r="B3" s="174" t="s">
        <v>135</v>
      </c>
      <c r="C3" s="174" t="s">
        <v>62</v>
      </c>
      <c r="D3" s="175" t="s">
        <v>136</v>
      </c>
      <c r="E3" s="175" t="s">
        <v>137</v>
      </c>
      <c r="F3" s="175" t="s">
        <v>7</v>
      </c>
      <c r="G3" s="174" t="s">
        <v>65</v>
      </c>
      <c r="H3" s="174"/>
      <c r="I3" s="174"/>
      <c r="J3" s="174"/>
      <c r="K3" s="174"/>
      <c r="L3" s="174"/>
      <c r="M3" s="174"/>
      <c r="N3" s="174"/>
      <c r="O3" s="174"/>
      <c r="P3" s="174"/>
    </row>
    <row r="4" ht="23" customHeight="1" spans="1:16">
      <c r="A4" s="174"/>
      <c r="B4" s="174"/>
      <c r="C4" s="174"/>
      <c r="D4" s="175"/>
      <c r="E4" s="175"/>
      <c r="F4" s="175"/>
      <c r="G4" s="174" t="s">
        <v>138</v>
      </c>
      <c r="H4" s="174" t="s">
        <v>139</v>
      </c>
      <c r="I4" s="174"/>
      <c r="J4" s="174"/>
      <c r="K4" s="174"/>
      <c r="L4" s="174"/>
      <c r="M4" s="174"/>
      <c r="N4" s="174"/>
      <c r="O4" s="181" t="s">
        <v>140</v>
      </c>
      <c r="P4" s="174" t="s">
        <v>141</v>
      </c>
    </row>
    <row r="5" ht="23" customHeight="1" spans="1:16">
      <c r="A5" s="174"/>
      <c r="B5" s="174"/>
      <c r="C5" s="174"/>
      <c r="D5" s="175"/>
      <c r="E5" s="175"/>
      <c r="F5" s="175"/>
      <c r="G5" s="174"/>
      <c r="H5" s="174" t="s">
        <v>66</v>
      </c>
      <c r="I5" s="174" t="s">
        <v>142</v>
      </c>
      <c r="J5" s="174" t="s">
        <v>143</v>
      </c>
      <c r="K5" s="174" t="s">
        <v>144</v>
      </c>
      <c r="L5" s="175" t="s">
        <v>69</v>
      </c>
      <c r="M5" s="175" t="s">
        <v>145</v>
      </c>
      <c r="N5" s="174" t="s">
        <v>131</v>
      </c>
      <c r="O5" s="181"/>
      <c r="P5" s="174"/>
    </row>
    <row r="6" ht="42" customHeight="1" spans="1:16">
      <c r="A6" s="203" t="s">
        <v>93</v>
      </c>
      <c r="B6" s="204">
        <f t="shared" ref="B6:G6" si="0">B7+B19+B23+B29</f>
        <v>22022.5</v>
      </c>
      <c r="C6" s="204">
        <f t="shared" si="0"/>
        <v>0</v>
      </c>
      <c r="D6" s="179">
        <f t="shared" si="0"/>
        <v>16630.44</v>
      </c>
      <c r="E6" s="179">
        <f t="shared" si="0"/>
        <v>5392.06</v>
      </c>
      <c r="F6" s="178">
        <f t="shared" ref="F6:F47" si="1">D6/B6*100</f>
        <v>75.515677148371</v>
      </c>
      <c r="G6" s="179">
        <f t="shared" si="0"/>
        <v>16630.441</v>
      </c>
      <c r="H6" s="179">
        <f t="shared" ref="H6:H46" si="2">SUM(I6:N6)</f>
        <v>14521.04</v>
      </c>
      <c r="I6" s="179">
        <f t="shared" ref="I6:P6" si="3">SUM(I7,I19,I23,I29)</f>
        <v>4630.9</v>
      </c>
      <c r="J6" s="179">
        <f t="shared" si="3"/>
        <v>6503</v>
      </c>
      <c r="K6" s="179">
        <f t="shared" si="3"/>
        <v>1838.5</v>
      </c>
      <c r="L6" s="179">
        <f t="shared" si="3"/>
        <v>191.7</v>
      </c>
      <c r="M6" s="179">
        <f t="shared" si="3"/>
        <v>520</v>
      </c>
      <c r="N6" s="179">
        <f t="shared" si="3"/>
        <v>836.94</v>
      </c>
      <c r="O6" s="179">
        <f t="shared" si="3"/>
        <v>2093.16</v>
      </c>
      <c r="P6" s="179">
        <f t="shared" si="3"/>
        <v>16.241</v>
      </c>
    </row>
    <row r="7" ht="42" customHeight="1" spans="1:16">
      <c r="A7" s="185" t="s">
        <v>180</v>
      </c>
      <c r="B7" s="186">
        <f>B8+B15+B18</f>
        <v>11910</v>
      </c>
      <c r="C7" s="186"/>
      <c r="D7" s="186">
        <f>D8+D15+D18</f>
        <v>8997.78</v>
      </c>
      <c r="E7" s="186">
        <f>E8+E15+E18</f>
        <v>2912.22</v>
      </c>
      <c r="F7" s="13">
        <f t="shared" si="1"/>
        <v>75.5481108312343</v>
      </c>
      <c r="G7" s="14">
        <f>SUM(G8,G15,G18)</f>
        <v>8997.781</v>
      </c>
      <c r="H7" s="14">
        <f t="shared" si="2"/>
        <v>8813.54</v>
      </c>
      <c r="I7" s="14">
        <f t="shared" ref="I7:P7" si="4">SUM(I8,I18)</f>
        <v>4615.9</v>
      </c>
      <c r="J7" s="14">
        <f t="shared" si="4"/>
        <v>2669</v>
      </c>
      <c r="K7" s="14">
        <f>K8+K15+K18</f>
        <v>500</v>
      </c>
      <c r="L7" s="14">
        <f t="shared" si="4"/>
        <v>191.7</v>
      </c>
      <c r="M7" s="14">
        <f t="shared" si="4"/>
        <v>0</v>
      </c>
      <c r="N7" s="14">
        <f t="shared" si="4"/>
        <v>836.94</v>
      </c>
      <c r="O7" s="14">
        <f t="shared" si="4"/>
        <v>168</v>
      </c>
      <c r="P7" s="14">
        <f t="shared" si="4"/>
        <v>16.241</v>
      </c>
    </row>
    <row r="8" ht="42" customHeight="1" spans="1:16">
      <c r="A8" s="180" t="s">
        <v>181</v>
      </c>
      <c r="B8" s="186">
        <f t="shared" ref="B8:G8" si="5">SUM(B9:B14)</f>
        <v>11036</v>
      </c>
      <c r="C8" s="187"/>
      <c r="D8" s="14">
        <f t="shared" si="5"/>
        <v>8497.78</v>
      </c>
      <c r="E8" s="14">
        <f t="shared" si="5"/>
        <v>2538.22</v>
      </c>
      <c r="F8" s="13">
        <f t="shared" si="1"/>
        <v>77.0005436752446</v>
      </c>
      <c r="G8" s="14">
        <f t="shared" si="5"/>
        <v>8497.781</v>
      </c>
      <c r="H8" s="14">
        <f t="shared" si="2"/>
        <v>8313.54</v>
      </c>
      <c r="I8" s="14">
        <f t="shared" ref="I8:P8" si="6">SUM(I9:I14)</f>
        <v>4615.9</v>
      </c>
      <c r="J8" s="14">
        <f t="shared" si="6"/>
        <v>2669</v>
      </c>
      <c r="K8" s="14">
        <f t="shared" si="6"/>
        <v>0</v>
      </c>
      <c r="L8" s="14">
        <f t="shared" si="6"/>
        <v>191.7</v>
      </c>
      <c r="M8" s="14">
        <f t="shared" si="6"/>
        <v>0</v>
      </c>
      <c r="N8" s="14">
        <f t="shared" si="6"/>
        <v>836.94</v>
      </c>
      <c r="O8" s="14">
        <f t="shared" si="6"/>
        <v>168</v>
      </c>
      <c r="P8" s="14">
        <f t="shared" si="6"/>
        <v>16.241</v>
      </c>
    </row>
    <row r="9" ht="42" customHeight="1" spans="1:16">
      <c r="A9" s="10" t="s">
        <v>148</v>
      </c>
      <c r="B9" s="11">
        <v>168</v>
      </c>
      <c r="C9" s="15" t="s">
        <v>149</v>
      </c>
      <c r="D9" s="13">
        <v>168</v>
      </c>
      <c r="E9" s="13">
        <f t="shared" ref="E9:E22" si="7">B9-D9</f>
        <v>0</v>
      </c>
      <c r="F9" s="13">
        <f t="shared" si="1"/>
        <v>100</v>
      </c>
      <c r="G9" s="13">
        <f t="shared" ref="G9:G22" si="8">SUM(I9:P9)</f>
        <v>168</v>
      </c>
      <c r="H9" s="14">
        <f t="shared" si="2"/>
        <v>0</v>
      </c>
      <c r="I9" s="13"/>
      <c r="J9" s="13"/>
      <c r="K9" s="13"/>
      <c r="L9" s="196"/>
      <c r="M9" s="196"/>
      <c r="N9" s="196"/>
      <c r="O9" s="13">
        <v>168</v>
      </c>
      <c r="P9" s="13"/>
    </row>
    <row r="10" ht="42" customHeight="1" spans="1:16">
      <c r="A10" s="10" t="s">
        <v>150</v>
      </c>
      <c r="B10" s="11">
        <v>4631</v>
      </c>
      <c r="C10" s="39" t="s">
        <v>151</v>
      </c>
      <c r="D10" s="13">
        <v>4615.9</v>
      </c>
      <c r="E10" s="13">
        <f t="shared" si="7"/>
        <v>15.1000000000004</v>
      </c>
      <c r="F10" s="13">
        <f t="shared" si="1"/>
        <v>99.6739365147916</v>
      </c>
      <c r="G10" s="13">
        <f t="shared" si="8"/>
        <v>4615.9</v>
      </c>
      <c r="H10" s="14">
        <f t="shared" si="2"/>
        <v>4615.9</v>
      </c>
      <c r="I10" s="13">
        <v>4615.9</v>
      </c>
      <c r="J10" s="13"/>
      <c r="K10" s="13"/>
      <c r="L10" s="13"/>
      <c r="M10" s="13"/>
      <c r="N10" s="13"/>
      <c r="O10" s="13"/>
      <c r="P10" s="13"/>
    </row>
    <row r="11" ht="42" customHeight="1" spans="1:16">
      <c r="A11" s="10" t="s">
        <v>152</v>
      </c>
      <c r="B11" s="11">
        <v>2058</v>
      </c>
      <c r="C11" s="15" t="s">
        <v>153</v>
      </c>
      <c r="D11" s="13"/>
      <c r="E11" s="13">
        <f t="shared" si="7"/>
        <v>2058</v>
      </c>
      <c r="F11" s="13">
        <f t="shared" si="1"/>
        <v>0</v>
      </c>
      <c r="G11" s="13">
        <f t="shared" si="8"/>
        <v>0</v>
      </c>
      <c r="H11" s="14">
        <f t="shared" si="2"/>
        <v>0</v>
      </c>
      <c r="I11" s="13"/>
      <c r="J11" s="13"/>
      <c r="K11" s="13"/>
      <c r="L11" s="13"/>
      <c r="M11" s="13"/>
      <c r="N11" s="13"/>
      <c r="O11" s="13"/>
      <c r="P11" s="13"/>
    </row>
    <row r="12" ht="42" customHeight="1" spans="1:16">
      <c r="A12" s="10" t="s">
        <v>154</v>
      </c>
      <c r="B12" s="11">
        <v>567</v>
      </c>
      <c r="C12" s="15" t="s">
        <v>155</v>
      </c>
      <c r="D12" s="13">
        <v>567</v>
      </c>
      <c r="E12" s="13">
        <f t="shared" si="7"/>
        <v>0</v>
      </c>
      <c r="F12" s="13">
        <f t="shared" si="1"/>
        <v>100</v>
      </c>
      <c r="G12" s="13">
        <f t="shared" si="8"/>
        <v>567</v>
      </c>
      <c r="H12" s="14">
        <f t="shared" si="2"/>
        <v>567</v>
      </c>
      <c r="I12" s="196"/>
      <c r="J12" s="13"/>
      <c r="K12" s="13"/>
      <c r="L12" s="13"/>
      <c r="M12" s="13"/>
      <c r="N12" s="13">
        <v>567</v>
      </c>
      <c r="O12" s="13"/>
      <c r="P12" s="13"/>
    </row>
    <row r="13" ht="42" customHeight="1" spans="1:16">
      <c r="A13" s="10" t="s">
        <v>36</v>
      </c>
      <c r="B13" s="11">
        <f>176+380</f>
        <v>556</v>
      </c>
      <c r="C13" s="39" t="s">
        <v>156</v>
      </c>
      <c r="D13" s="13">
        <v>286.5</v>
      </c>
      <c r="E13" s="13">
        <f t="shared" si="7"/>
        <v>269.5</v>
      </c>
      <c r="F13" s="13">
        <f t="shared" si="1"/>
        <v>51.5287769784173</v>
      </c>
      <c r="G13" s="13">
        <f t="shared" si="8"/>
        <v>286.501</v>
      </c>
      <c r="H13" s="14">
        <f t="shared" si="2"/>
        <v>270.26</v>
      </c>
      <c r="I13" s="13"/>
      <c r="J13" s="13"/>
      <c r="K13" s="13"/>
      <c r="L13" s="13">
        <v>191.7</v>
      </c>
      <c r="M13" s="13"/>
      <c r="N13" s="13">
        <v>78.56</v>
      </c>
      <c r="O13" s="13"/>
      <c r="P13" s="13">
        <v>16.241</v>
      </c>
    </row>
    <row r="14" ht="42" customHeight="1" spans="1:16">
      <c r="A14" s="10" t="s">
        <v>33</v>
      </c>
      <c r="B14" s="11">
        <f>387+2669</f>
        <v>3056</v>
      </c>
      <c r="C14" s="15" t="s">
        <v>157</v>
      </c>
      <c r="D14" s="13">
        <v>2860.38</v>
      </c>
      <c r="E14" s="13">
        <f t="shared" si="7"/>
        <v>195.62</v>
      </c>
      <c r="F14" s="13">
        <f t="shared" si="1"/>
        <v>93.5988219895288</v>
      </c>
      <c r="G14" s="13">
        <f t="shared" si="8"/>
        <v>2860.38</v>
      </c>
      <c r="H14" s="14">
        <f t="shared" si="2"/>
        <v>2860.38</v>
      </c>
      <c r="I14" s="13"/>
      <c r="J14" s="13">
        <v>2669</v>
      </c>
      <c r="K14" s="13"/>
      <c r="L14" s="13"/>
      <c r="M14" s="13"/>
      <c r="N14" s="13">
        <v>191.38</v>
      </c>
      <c r="O14" s="13"/>
      <c r="P14" s="13"/>
    </row>
    <row r="15" ht="42" customHeight="1" spans="1:16">
      <c r="A15" s="180" t="s">
        <v>182</v>
      </c>
      <c r="B15" s="11">
        <f>B16+B17</f>
        <v>824</v>
      </c>
      <c r="C15" s="15"/>
      <c r="D15" s="13">
        <v>500</v>
      </c>
      <c r="E15" s="13">
        <f t="shared" si="7"/>
        <v>324</v>
      </c>
      <c r="F15" s="13">
        <f t="shared" si="1"/>
        <v>60.6796116504854</v>
      </c>
      <c r="G15" s="13">
        <f t="shared" si="8"/>
        <v>500</v>
      </c>
      <c r="H15" s="14">
        <f t="shared" si="2"/>
        <v>500</v>
      </c>
      <c r="I15" s="13"/>
      <c r="J15" s="13"/>
      <c r="K15" s="13">
        <v>500</v>
      </c>
      <c r="L15" s="13"/>
      <c r="M15" s="13"/>
      <c r="N15" s="13"/>
      <c r="O15" s="13"/>
      <c r="P15" s="13"/>
    </row>
    <row r="16" ht="42" customHeight="1" spans="1:16">
      <c r="A16" s="10" t="s">
        <v>150</v>
      </c>
      <c r="B16" s="11">
        <v>500</v>
      </c>
      <c r="C16" s="15" t="s">
        <v>164</v>
      </c>
      <c r="D16" s="13">
        <v>500</v>
      </c>
      <c r="E16" s="13">
        <f t="shared" si="7"/>
        <v>0</v>
      </c>
      <c r="F16" s="13">
        <f t="shared" si="1"/>
        <v>100</v>
      </c>
      <c r="G16" s="13">
        <f t="shared" si="8"/>
        <v>500</v>
      </c>
      <c r="H16" s="14">
        <f t="shared" si="2"/>
        <v>500</v>
      </c>
      <c r="I16" s="13"/>
      <c r="J16" s="13"/>
      <c r="K16" s="13">
        <v>500</v>
      </c>
      <c r="L16" s="13"/>
      <c r="M16" s="13"/>
      <c r="N16" s="13"/>
      <c r="O16" s="13"/>
      <c r="P16" s="13"/>
    </row>
    <row r="17" ht="42" customHeight="1" spans="1:16">
      <c r="A17" s="10" t="s">
        <v>152</v>
      </c>
      <c r="B17" s="11">
        <v>324</v>
      </c>
      <c r="C17" s="15" t="s">
        <v>155</v>
      </c>
      <c r="D17" s="13"/>
      <c r="E17" s="13">
        <f t="shared" si="7"/>
        <v>324</v>
      </c>
      <c r="F17" s="13">
        <f t="shared" si="1"/>
        <v>0</v>
      </c>
      <c r="G17" s="13">
        <f t="shared" si="8"/>
        <v>0</v>
      </c>
      <c r="H17" s="14">
        <f t="shared" si="2"/>
        <v>0</v>
      </c>
      <c r="I17" s="13"/>
      <c r="J17" s="13"/>
      <c r="K17" s="13"/>
      <c r="L17" s="13"/>
      <c r="M17" s="13"/>
      <c r="N17" s="13"/>
      <c r="O17" s="13"/>
      <c r="P17" s="13"/>
    </row>
    <row r="18" ht="42" customHeight="1" spans="1:16">
      <c r="A18" s="180" t="s">
        <v>207</v>
      </c>
      <c r="B18" s="11">
        <v>50</v>
      </c>
      <c r="C18" s="15" t="s">
        <v>126</v>
      </c>
      <c r="D18" s="13"/>
      <c r="E18" s="13">
        <f t="shared" si="7"/>
        <v>50</v>
      </c>
      <c r="F18" s="13">
        <f t="shared" si="1"/>
        <v>0</v>
      </c>
      <c r="G18" s="13">
        <f t="shared" si="8"/>
        <v>0</v>
      </c>
      <c r="H18" s="14">
        <f t="shared" si="2"/>
        <v>0</v>
      </c>
      <c r="I18" s="13"/>
      <c r="J18" s="13"/>
      <c r="K18" s="13"/>
      <c r="L18" s="13"/>
      <c r="M18" s="13"/>
      <c r="N18" s="13"/>
      <c r="O18" s="13"/>
      <c r="P18" s="13"/>
    </row>
    <row r="19" ht="42" customHeight="1" spans="1:16">
      <c r="A19" s="185" t="s">
        <v>185</v>
      </c>
      <c r="B19" s="11">
        <f>B20+B21+B22</f>
        <v>4255</v>
      </c>
      <c r="C19" s="15"/>
      <c r="D19" s="13">
        <f>D20+D21+D22</f>
        <v>3279.53</v>
      </c>
      <c r="E19" s="13">
        <f t="shared" si="7"/>
        <v>975.47</v>
      </c>
      <c r="F19" s="13">
        <f t="shared" si="1"/>
        <v>77.0747356051704</v>
      </c>
      <c r="G19" s="13">
        <f t="shared" si="8"/>
        <v>3279.53</v>
      </c>
      <c r="H19" s="14">
        <f t="shared" si="2"/>
        <v>2855</v>
      </c>
      <c r="I19" s="13">
        <f t="shared" ref="I19:P19" si="9">I20+I21+I22</f>
        <v>0</v>
      </c>
      <c r="J19" s="13">
        <f t="shared" si="9"/>
        <v>2855</v>
      </c>
      <c r="K19" s="13">
        <f t="shared" si="9"/>
        <v>0</v>
      </c>
      <c r="L19" s="13">
        <f t="shared" si="9"/>
        <v>0</v>
      </c>
      <c r="M19" s="13">
        <f t="shared" si="9"/>
        <v>0</v>
      </c>
      <c r="N19" s="13">
        <f t="shared" si="9"/>
        <v>0</v>
      </c>
      <c r="O19" s="13">
        <f t="shared" si="9"/>
        <v>424.53</v>
      </c>
      <c r="P19" s="13">
        <f t="shared" si="9"/>
        <v>0</v>
      </c>
    </row>
    <row r="20" ht="42" customHeight="1" spans="1:16">
      <c r="A20" s="10" t="s">
        <v>148</v>
      </c>
      <c r="B20" s="11">
        <v>1329</v>
      </c>
      <c r="C20" s="15" t="s">
        <v>174</v>
      </c>
      <c r="D20" s="13">
        <v>424.53</v>
      </c>
      <c r="E20" s="13">
        <f t="shared" si="7"/>
        <v>904.47</v>
      </c>
      <c r="F20" s="13">
        <f t="shared" si="1"/>
        <v>31.9435665914221</v>
      </c>
      <c r="G20" s="13">
        <f t="shared" si="8"/>
        <v>424.53</v>
      </c>
      <c r="H20" s="14">
        <f t="shared" si="2"/>
        <v>0</v>
      </c>
      <c r="I20" s="13"/>
      <c r="J20" s="13"/>
      <c r="K20" s="13"/>
      <c r="L20" s="13"/>
      <c r="M20" s="13"/>
      <c r="N20" s="13"/>
      <c r="O20" s="13">
        <v>424.53</v>
      </c>
      <c r="P20" s="13"/>
    </row>
    <row r="21" ht="42" customHeight="1" spans="1:16">
      <c r="A21" s="10" t="s">
        <v>150</v>
      </c>
      <c r="B21" s="11">
        <v>2855</v>
      </c>
      <c r="C21" s="15" t="s">
        <v>175</v>
      </c>
      <c r="D21" s="13">
        <v>2855</v>
      </c>
      <c r="E21" s="13">
        <f t="shared" si="7"/>
        <v>0</v>
      </c>
      <c r="F21" s="13">
        <f t="shared" si="1"/>
        <v>100</v>
      </c>
      <c r="G21" s="13">
        <f t="shared" si="8"/>
        <v>2855</v>
      </c>
      <c r="H21" s="14">
        <f t="shared" si="2"/>
        <v>2855</v>
      </c>
      <c r="I21" s="13"/>
      <c r="J21" s="13">
        <v>2855</v>
      </c>
      <c r="K21" s="13"/>
      <c r="L21" s="13"/>
      <c r="M21" s="13"/>
      <c r="N21" s="13"/>
      <c r="O21" s="13"/>
      <c r="P21" s="13"/>
    </row>
    <row r="22" ht="42" customHeight="1" spans="1:16">
      <c r="A22" s="10" t="s">
        <v>152</v>
      </c>
      <c r="B22" s="11">
        <v>71</v>
      </c>
      <c r="C22" s="15" t="s">
        <v>155</v>
      </c>
      <c r="D22" s="13"/>
      <c r="E22" s="13">
        <f t="shared" si="7"/>
        <v>71</v>
      </c>
      <c r="F22" s="13">
        <f t="shared" si="1"/>
        <v>0</v>
      </c>
      <c r="G22" s="13">
        <f t="shared" si="8"/>
        <v>0</v>
      </c>
      <c r="H22" s="14">
        <f t="shared" si="2"/>
        <v>0</v>
      </c>
      <c r="I22" s="13"/>
      <c r="J22" s="13"/>
      <c r="K22" s="13"/>
      <c r="L22" s="13"/>
      <c r="M22" s="13"/>
      <c r="N22" s="13"/>
      <c r="O22" s="13"/>
      <c r="P22" s="13"/>
    </row>
    <row r="23" ht="42" customHeight="1" spans="1:16">
      <c r="A23" s="188" t="s">
        <v>186</v>
      </c>
      <c r="B23" s="11">
        <f t="shared" ref="B23:G23" si="10">SUM(B24:B28)</f>
        <v>2857.5</v>
      </c>
      <c r="C23" s="189"/>
      <c r="D23" s="13">
        <f t="shared" si="10"/>
        <v>2837.5</v>
      </c>
      <c r="E23" s="13">
        <f t="shared" si="10"/>
        <v>20</v>
      </c>
      <c r="F23" s="13">
        <f t="shared" si="1"/>
        <v>99.3000874890639</v>
      </c>
      <c r="G23" s="13">
        <f t="shared" si="10"/>
        <v>2837.5</v>
      </c>
      <c r="H23" s="14">
        <f t="shared" si="2"/>
        <v>2837.5</v>
      </c>
      <c r="I23" s="13">
        <f t="shared" ref="I23:P23" si="11">SUM(I24:I28)</f>
        <v>0</v>
      </c>
      <c r="J23" s="13">
        <f t="shared" si="11"/>
        <v>979</v>
      </c>
      <c r="K23" s="13">
        <f t="shared" si="11"/>
        <v>1338.5</v>
      </c>
      <c r="L23" s="13">
        <f t="shared" si="11"/>
        <v>0</v>
      </c>
      <c r="M23" s="13">
        <f t="shared" si="11"/>
        <v>520</v>
      </c>
      <c r="N23" s="13">
        <f t="shared" si="11"/>
        <v>0</v>
      </c>
      <c r="O23" s="13">
        <f t="shared" si="11"/>
        <v>0</v>
      </c>
      <c r="P23" s="13">
        <f t="shared" si="11"/>
        <v>0</v>
      </c>
    </row>
    <row r="24" ht="42" customHeight="1" spans="1:16">
      <c r="A24" s="10" t="s">
        <v>33</v>
      </c>
      <c r="B24" s="11">
        <v>204</v>
      </c>
      <c r="C24" s="15" t="s">
        <v>143</v>
      </c>
      <c r="D24" s="13">
        <v>204</v>
      </c>
      <c r="E24" s="13">
        <f t="shared" ref="E24:E28" si="12">B24-D24</f>
        <v>0</v>
      </c>
      <c r="F24" s="13">
        <f t="shared" si="1"/>
        <v>100</v>
      </c>
      <c r="G24" s="14">
        <f t="shared" ref="G24:G28" si="13">H24+O24+P24</f>
        <v>204</v>
      </c>
      <c r="H24" s="14">
        <f t="shared" si="2"/>
        <v>204</v>
      </c>
      <c r="I24" s="13"/>
      <c r="J24" s="13">
        <v>204</v>
      </c>
      <c r="K24" s="13"/>
      <c r="L24" s="13"/>
      <c r="M24" s="13"/>
      <c r="N24" s="13"/>
      <c r="O24" s="13"/>
      <c r="P24" s="13"/>
    </row>
    <row r="25" ht="42" customHeight="1" spans="1:16">
      <c r="A25" s="10" t="s">
        <v>150</v>
      </c>
      <c r="B25" s="11">
        <v>775</v>
      </c>
      <c r="C25" s="15" t="s">
        <v>143</v>
      </c>
      <c r="D25" s="13">
        <v>775</v>
      </c>
      <c r="E25" s="13">
        <f t="shared" si="12"/>
        <v>0</v>
      </c>
      <c r="F25" s="13">
        <f t="shared" si="1"/>
        <v>100</v>
      </c>
      <c r="G25" s="14">
        <f t="shared" si="13"/>
        <v>775</v>
      </c>
      <c r="H25" s="14">
        <f t="shared" si="2"/>
        <v>775</v>
      </c>
      <c r="I25" s="13"/>
      <c r="J25" s="13">
        <v>775</v>
      </c>
      <c r="K25" s="13"/>
      <c r="L25" s="13"/>
      <c r="M25" s="13"/>
      <c r="N25" s="13"/>
      <c r="O25" s="13"/>
      <c r="P25" s="13"/>
    </row>
    <row r="26" ht="42" customHeight="1" spans="1:16">
      <c r="A26" s="10" t="s">
        <v>37</v>
      </c>
      <c r="B26" s="11">
        <v>520</v>
      </c>
      <c r="C26" s="15" t="s">
        <v>163</v>
      </c>
      <c r="D26" s="13">
        <v>520</v>
      </c>
      <c r="E26" s="13">
        <f t="shared" si="12"/>
        <v>0</v>
      </c>
      <c r="F26" s="13">
        <f t="shared" si="1"/>
        <v>100</v>
      </c>
      <c r="G26" s="14">
        <f t="shared" si="13"/>
        <v>520</v>
      </c>
      <c r="H26" s="14">
        <f t="shared" si="2"/>
        <v>520</v>
      </c>
      <c r="I26" s="13"/>
      <c r="J26" s="13"/>
      <c r="K26" s="13"/>
      <c r="L26" s="13"/>
      <c r="M26" s="13">
        <v>520</v>
      </c>
      <c r="N26" s="13"/>
      <c r="O26" s="13"/>
      <c r="P26" s="13"/>
    </row>
    <row r="27" ht="42" customHeight="1" spans="1:16">
      <c r="A27" s="10" t="s">
        <v>150</v>
      </c>
      <c r="B27" s="11">
        <v>1338.5</v>
      </c>
      <c r="C27" s="15" t="s">
        <v>164</v>
      </c>
      <c r="D27" s="13">
        <v>1338.5</v>
      </c>
      <c r="E27" s="13">
        <f t="shared" si="12"/>
        <v>0</v>
      </c>
      <c r="F27" s="13">
        <f t="shared" si="1"/>
        <v>100</v>
      </c>
      <c r="G27" s="14">
        <f t="shared" si="13"/>
        <v>1338.5</v>
      </c>
      <c r="H27" s="14">
        <f t="shared" si="2"/>
        <v>1338.5</v>
      </c>
      <c r="I27" s="13"/>
      <c r="J27" s="13"/>
      <c r="K27" s="13">
        <v>1338.5</v>
      </c>
      <c r="L27" s="13"/>
      <c r="M27" s="13"/>
      <c r="N27" s="13"/>
      <c r="O27" s="13"/>
      <c r="P27" s="13"/>
    </row>
    <row r="28" ht="42" customHeight="1" spans="1:16">
      <c r="A28" s="10" t="s">
        <v>150</v>
      </c>
      <c r="B28" s="11">
        <v>20</v>
      </c>
      <c r="C28" s="15" t="s">
        <v>187</v>
      </c>
      <c r="D28" s="13"/>
      <c r="E28" s="13">
        <f t="shared" si="12"/>
        <v>20</v>
      </c>
      <c r="F28" s="13">
        <f t="shared" si="1"/>
        <v>0</v>
      </c>
      <c r="G28" s="14">
        <f t="shared" si="13"/>
        <v>0</v>
      </c>
      <c r="H28" s="14">
        <f t="shared" si="2"/>
        <v>0</v>
      </c>
      <c r="I28" s="13"/>
      <c r="J28" s="13"/>
      <c r="K28" s="13"/>
      <c r="L28" s="13"/>
      <c r="M28" s="13"/>
      <c r="N28" s="13"/>
      <c r="O28" s="13"/>
      <c r="P28" s="85"/>
    </row>
    <row r="29" ht="42" customHeight="1" spans="1:16">
      <c r="A29" s="185" t="s">
        <v>188</v>
      </c>
      <c r="B29" s="11">
        <f t="shared" ref="B29:G29" si="14">B30+B31+B32+B33</f>
        <v>3000</v>
      </c>
      <c r="C29" s="15"/>
      <c r="D29" s="13">
        <f t="shared" si="14"/>
        <v>1515.63</v>
      </c>
      <c r="E29" s="13">
        <f t="shared" si="14"/>
        <v>1484.37</v>
      </c>
      <c r="F29" s="13">
        <f t="shared" si="1"/>
        <v>50.521</v>
      </c>
      <c r="G29" s="13">
        <f t="shared" si="14"/>
        <v>1515.63</v>
      </c>
      <c r="H29" s="14">
        <f t="shared" si="2"/>
        <v>15</v>
      </c>
      <c r="I29" s="13">
        <f t="shared" ref="I29:O29" si="15">I30+I31+I32+I33</f>
        <v>15</v>
      </c>
      <c r="J29" s="13">
        <f t="shared" si="15"/>
        <v>0</v>
      </c>
      <c r="K29" s="13">
        <f t="shared" si="15"/>
        <v>0</v>
      </c>
      <c r="L29" s="13">
        <f t="shared" si="15"/>
        <v>0</v>
      </c>
      <c r="M29" s="13">
        <f t="shared" si="15"/>
        <v>0</v>
      </c>
      <c r="N29" s="13">
        <f t="shared" si="15"/>
        <v>0</v>
      </c>
      <c r="O29" s="13">
        <f t="shared" si="15"/>
        <v>1500.63</v>
      </c>
      <c r="P29" s="13"/>
    </row>
    <row r="30" ht="42" customHeight="1" spans="1:16">
      <c r="A30" s="10" t="s">
        <v>150</v>
      </c>
      <c r="B30" s="11">
        <v>20</v>
      </c>
      <c r="C30" s="15" t="s">
        <v>176</v>
      </c>
      <c r="D30" s="13">
        <v>15</v>
      </c>
      <c r="E30" s="13">
        <f t="shared" ref="E30:E33" si="16">B30-D30</f>
        <v>5</v>
      </c>
      <c r="F30" s="13">
        <f t="shared" si="1"/>
        <v>75</v>
      </c>
      <c r="G30" s="14">
        <f t="shared" ref="G30:G33" si="17">H30+O30+P30</f>
        <v>15</v>
      </c>
      <c r="H30" s="14">
        <f t="shared" si="2"/>
        <v>15</v>
      </c>
      <c r="I30" s="13">
        <v>15</v>
      </c>
      <c r="J30" s="13"/>
      <c r="K30" s="13"/>
      <c r="L30" s="13"/>
      <c r="M30" s="13"/>
      <c r="N30" s="13"/>
      <c r="O30" s="13"/>
      <c r="P30" s="13"/>
    </row>
    <row r="31" ht="42" customHeight="1" spans="1:16">
      <c r="A31" s="10" t="s">
        <v>35</v>
      </c>
      <c r="B31" s="11">
        <v>1000</v>
      </c>
      <c r="C31" s="15" t="s">
        <v>177</v>
      </c>
      <c r="D31" s="13"/>
      <c r="E31" s="13">
        <f t="shared" si="16"/>
        <v>1000</v>
      </c>
      <c r="F31" s="13">
        <f t="shared" si="1"/>
        <v>0</v>
      </c>
      <c r="G31" s="14">
        <f t="shared" si="17"/>
        <v>0</v>
      </c>
      <c r="H31" s="14">
        <f t="shared" si="2"/>
        <v>0</v>
      </c>
      <c r="I31" s="13"/>
      <c r="J31" s="13"/>
      <c r="K31" s="13"/>
      <c r="L31" s="13"/>
      <c r="M31" s="13"/>
      <c r="N31" s="13"/>
      <c r="O31" s="13"/>
      <c r="P31" s="13"/>
    </row>
    <row r="32" ht="42" customHeight="1" spans="1:16">
      <c r="A32" s="10" t="s">
        <v>148</v>
      </c>
      <c r="B32" s="11">
        <v>1680</v>
      </c>
      <c r="C32" s="15" t="s">
        <v>174</v>
      </c>
      <c r="D32" s="13">
        <v>1500.63</v>
      </c>
      <c r="E32" s="13">
        <f t="shared" si="16"/>
        <v>179.37</v>
      </c>
      <c r="F32" s="13">
        <f t="shared" si="1"/>
        <v>89.3232142857143</v>
      </c>
      <c r="G32" s="14">
        <f t="shared" si="17"/>
        <v>1500.63</v>
      </c>
      <c r="H32" s="14">
        <f t="shared" si="2"/>
        <v>0</v>
      </c>
      <c r="I32" s="13"/>
      <c r="J32" s="13"/>
      <c r="K32" s="13"/>
      <c r="L32" s="13"/>
      <c r="M32" s="13"/>
      <c r="N32" s="13"/>
      <c r="O32" s="13">
        <v>1500.63</v>
      </c>
      <c r="P32" s="13"/>
    </row>
    <row r="33" ht="42" customHeight="1" spans="1:16">
      <c r="A33" s="10" t="s">
        <v>36</v>
      </c>
      <c r="B33" s="11">
        <v>300</v>
      </c>
      <c r="C33" s="15" t="s">
        <v>178</v>
      </c>
      <c r="D33" s="13"/>
      <c r="E33" s="13">
        <f t="shared" si="16"/>
        <v>300</v>
      </c>
      <c r="F33" s="13">
        <f t="shared" si="1"/>
        <v>0</v>
      </c>
      <c r="G33" s="14">
        <f t="shared" si="17"/>
        <v>0</v>
      </c>
      <c r="H33" s="14">
        <f t="shared" si="2"/>
        <v>0</v>
      </c>
      <c r="I33" s="13"/>
      <c r="J33" s="13"/>
      <c r="K33" s="13"/>
      <c r="L33" s="13"/>
      <c r="M33" s="13"/>
      <c r="N33" s="13"/>
      <c r="O33" s="13"/>
      <c r="P33" s="13"/>
    </row>
    <row r="34" ht="42" customHeight="1" spans="1:16">
      <c r="A34" s="205" t="s">
        <v>102</v>
      </c>
      <c r="B34" s="11">
        <f t="shared" ref="B34:G34" si="18">B35+B41</f>
        <v>3000</v>
      </c>
      <c r="C34" s="11">
        <f t="shared" si="18"/>
        <v>0</v>
      </c>
      <c r="D34" s="11">
        <f t="shared" si="18"/>
        <v>1605.66</v>
      </c>
      <c r="E34" s="11">
        <f t="shared" si="18"/>
        <v>1394.34</v>
      </c>
      <c r="F34" s="13">
        <f t="shared" si="1"/>
        <v>53.522</v>
      </c>
      <c r="G34" s="11">
        <f t="shared" si="18"/>
        <v>1605.66</v>
      </c>
      <c r="H34" s="14">
        <f t="shared" si="2"/>
        <v>1525.66</v>
      </c>
      <c r="I34" s="11">
        <f t="shared" ref="I34:P34" si="19">I35+I41</f>
        <v>0</v>
      </c>
      <c r="J34" s="11">
        <f t="shared" si="19"/>
        <v>901.6</v>
      </c>
      <c r="K34" s="11">
        <f t="shared" si="19"/>
        <v>340</v>
      </c>
      <c r="L34" s="11">
        <f t="shared" si="19"/>
        <v>254.06</v>
      </c>
      <c r="M34" s="11">
        <f t="shared" si="19"/>
        <v>30</v>
      </c>
      <c r="N34" s="11">
        <f t="shared" si="19"/>
        <v>0</v>
      </c>
      <c r="O34" s="11">
        <f t="shared" si="19"/>
        <v>0</v>
      </c>
      <c r="P34" s="11">
        <f t="shared" si="19"/>
        <v>80</v>
      </c>
    </row>
    <row r="35" ht="42" customHeight="1" spans="1:16">
      <c r="A35" s="180" t="s">
        <v>189</v>
      </c>
      <c r="B35" s="11">
        <f t="shared" ref="B35:G35" si="20">SUM(B36:B40)</f>
        <v>2350</v>
      </c>
      <c r="C35" s="11">
        <f t="shared" si="20"/>
        <v>0</v>
      </c>
      <c r="D35" s="11">
        <f t="shared" si="20"/>
        <v>1525.66</v>
      </c>
      <c r="E35" s="11">
        <f t="shared" si="20"/>
        <v>824.34</v>
      </c>
      <c r="F35" s="13">
        <f t="shared" si="1"/>
        <v>64.9217021276596</v>
      </c>
      <c r="G35" s="11">
        <f t="shared" si="20"/>
        <v>1525.66</v>
      </c>
      <c r="H35" s="14">
        <f t="shared" si="2"/>
        <v>1525.66</v>
      </c>
      <c r="I35" s="11">
        <f t="shared" ref="I35:P35" si="21">SUM(I36:I40)</f>
        <v>0</v>
      </c>
      <c r="J35" s="11">
        <f t="shared" si="21"/>
        <v>901.6</v>
      </c>
      <c r="K35" s="11">
        <f t="shared" si="21"/>
        <v>340</v>
      </c>
      <c r="L35" s="11">
        <f t="shared" si="21"/>
        <v>254.06</v>
      </c>
      <c r="M35" s="11">
        <f t="shared" si="21"/>
        <v>30</v>
      </c>
      <c r="N35" s="11">
        <f t="shared" si="21"/>
        <v>0</v>
      </c>
      <c r="O35" s="11">
        <f t="shared" si="21"/>
        <v>0</v>
      </c>
      <c r="P35" s="11">
        <f t="shared" si="21"/>
        <v>0</v>
      </c>
    </row>
    <row r="36" ht="42" customHeight="1" spans="1:16">
      <c r="A36" s="10" t="s">
        <v>150</v>
      </c>
      <c r="B36" s="11">
        <v>1020</v>
      </c>
      <c r="C36" s="12" t="s">
        <v>167</v>
      </c>
      <c r="D36" s="13">
        <v>901.6</v>
      </c>
      <c r="E36" s="13">
        <f t="shared" ref="E36:E46" si="22">B36-D36</f>
        <v>118.4</v>
      </c>
      <c r="F36" s="13">
        <f t="shared" si="1"/>
        <v>88.3921568627451</v>
      </c>
      <c r="G36" s="14">
        <f t="shared" ref="G36:G46" si="23">H36+O36+P36</f>
        <v>901.6</v>
      </c>
      <c r="H36" s="14">
        <f t="shared" si="2"/>
        <v>901.6</v>
      </c>
      <c r="I36" s="13">
        <v>0</v>
      </c>
      <c r="J36" s="13">
        <v>901.6</v>
      </c>
      <c r="K36" s="13"/>
      <c r="L36" s="13"/>
      <c r="M36" s="13"/>
      <c r="N36" s="13"/>
      <c r="O36" s="13"/>
      <c r="P36" s="13"/>
    </row>
    <row r="37" ht="42" customHeight="1" spans="1:16">
      <c r="A37" s="10" t="s">
        <v>37</v>
      </c>
      <c r="B37" s="11">
        <v>100</v>
      </c>
      <c r="C37" s="15" t="s">
        <v>168</v>
      </c>
      <c r="D37" s="13">
        <v>29.06</v>
      </c>
      <c r="E37" s="13">
        <f t="shared" si="22"/>
        <v>70.94</v>
      </c>
      <c r="F37" s="13">
        <f t="shared" si="1"/>
        <v>29.06</v>
      </c>
      <c r="G37" s="14">
        <f t="shared" si="23"/>
        <v>29.06</v>
      </c>
      <c r="H37" s="14">
        <f t="shared" si="2"/>
        <v>29.06</v>
      </c>
      <c r="I37" s="13">
        <v>0</v>
      </c>
      <c r="J37" s="13"/>
      <c r="K37" s="13"/>
      <c r="L37" s="13">
        <v>29.06</v>
      </c>
      <c r="M37" s="13"/>
      <c r="N37" s="13"/>
      <c r="O37" s="13"/>
      <c r="P37" s="13"/>
    </row>
    <row r="38" ht="42" customHeight="1" spans="1:16">
      <c r="A38" s="10" t="s">
        <v>150</v>
      </c>
      <c r="B38" s="11">
        <v>400</v>
      </c>
      <c r="C38" s="12" t="s">
        <v>164</v>
      </c>
      <c r="D38" s="13">
        <v>340</v>
      </c>
      <c r="E38" s="13">
        <f t="shared" si="22"/>
        <v>60</v>
      </c>
      <c r="F38" s="13">
        <f t="shared" si="1"/>
        <v>85</v>
      </c>
      <c r="G38" s="14">
        <f t="shared" si="23"/>
        <v>340</v>
      </c>
      <c r="H38" s="14">
        <f t="shared" si="2"/>
        <v>340</v>
      </c>
      <c r="I38" s="13"/>
      <c r="J38" s="13"/>
      <c r="K38" s="13">
        <v>340</v>
      </c>
      <c r="L38" s="13"/>
      <c r="M38" s="13"/>
      <c r="N38" s="13"/>
      <c r="O38" s="13"/>
      <c r="P38" s="13"/>
    </row>
    <row r="39" ht="42" customHeight="1" spans="1:16">
      <c r="A39" s="10" t="s">
        <v>37</v>
      </c>
      <c r="B39" s="11">
        <v>780</v>
      </c>
      <c r="C39" s="15" t="s">
        <v>163</v>
      </c>
      <c r="D39" s="13">
        <v>230</v>
      </c>
      <c r="E39" s="13">
        <f t="shared" si="22"/>
        <v>550</v>
      </c>
      <c r="F39" s="13">
        <f t="shared" si="1"/>
        <v>29.4871794871795</v>
      </c>
      <c r="G39" s="14">
        <f t="shared" si="23"/>
        <v>230</v>
      </c>
      <c r="H39" s="14">
        <f t="shared" si="2"/>
        <v>230</v>
      </c>
      <c r="I39" s="13"/>
      <c r="J39" s="13"/>
      <c r="K39" s="13"/>
      <c r="L39" s="13">
        <v>200</v>
      </c>
      <c r="M39" s="13">
        <v>30</v>
      </c>
      <c r="N39" s="13"/>
      <c r="O39" s="13"/>
      <c r="P39" s="13"/>
    </row>
    <row r="40" ht="42" customHeight="1" spans="1:16">
      <c r="A40" s="10" t="s">
        <v>150</v>
      </c>
      <c r="B40" s="11">
        <v>50</v>
      </c>
      <c r="C40" s="15" t="s">
        <v>169</v>
      </c>
      <c r="D40" s="13">
        <v>25</v>
      </c>
      <c r="E40" s="13">
        <f t="shared" si="22"/>
        <v>25</v>
      </c>
      <c r="F40" s="13">
        <f t="shared" si="1"/>
        <v>50</v>
      </c>
      <c r="G40" s="14">
        <f t="shared" si="23"/>
        <v>25</v>
      </c>
      <c r="H40" s="14">
        <f t="shared" si="2"/>
        <v>25</v>
      </c>
      <c r="I40" s="13">
        <v>0</v>
      </c>
      <c r="J40" s="13"/>
      <c r="K40" s="13"/>
      <c r="L40" s="13">
        <v>25</v>
      </c>
      <c r="M40" s="13"/>
      <c r="N40" s="13"/>
      <c r="O40" s="13"/>
      <c r="P40" s="13"/>
    </row>
    <row r="41" ht="42" customHeight="1" spans="1:16">
      <c r="A41" s="180" t="s">
        <v>190</v>
      </c>
      <c r="B41" s="11">
        <f>SUM(B42:B46)</f>
        <v>650</v>
      </c>
      <c r="C41" s="11">
        <f>SUM(C42:C46)</f>
        <v>0</v>
      </c>
      <c r="D41" s="13">
        <f>SUM(D42:D46)</f>
        <v>80</v>
      </c>
      <c r="E41" s="13">
        <f t="shared" si="22"/>
        <v>570</v>
      </c>
      <c r="F41" s="13">
        <f t="shared" si="1"/>
        <v>12.3076923076923</v>
      </c>
      <c r="G41" s="14">
        <f t="shared" si="23"/>
        <v>80</v>
      </c>
      <c r="H41" s="14">
        <f t="shared" si="2"/>
        <v>0</v>
      </c>
      <c r="I41" s="11">
        <f t="shared" ref="I41:P41" si="24">SUM(I42:I46)</f>
        <v>0</v>
      </c>
      <c r="J41" s="11">
        <f t="shared" si="24"/>
        <v>0</v>
      </c>
      <c r="K41" s="11">
        <f t="shared" si="24"/>
        <v>0</v>
      </c>
      <c r="L41" s="11">
        <f t="shared" si="24"/>
        <v>0</v>
      </c>
      <c r="M41" s="11">
        <f t="shared" si="24"/>
        <v>0</v>
      </c>
      <c r="N41" s="11">
        <f t="shared" si="24"/>
        <v>0</v>
      </c>
      <c r="O41" s="11">
        <f t="shared" si="24"/>
        <v>0</v>
      </c>
      <c r="P41" s="11">
        <f t="shared" si="24"/>
        <v>80</v>
      </c>
    </row>
    <row r="42" ht="42" customHeight="1" spans="1:16">
      <c r="A42" s="10" t="s">
        <v>191</v>
      </c>
      <c r="B42" s="11">
        <v>150</v>
      </c>
      <c r="C42" s="15" t="s">
        <v>192</v>
      </c>
      <c r="D42" s="13"/>
      <c r="E42" s="13">
        <f t="shared" si="22"/>
        <v>150</v>
      </c>
      <c r="F42" s="13">
        <f t="shared" si="1"/>
        <v>0</v>
      </c>
      <c r="G42" s="14">
        <f t="shared" si="23"/>
        <v>0</v>
      </c>
      <c r="H42" s="14">
        <f t="shared" si="2"/>
        <v>0</v>
      </c>
      <c r="I42" s="13"/>
      <c r="J42" s="13"/>
      <c r="K42" s="13"/>
      <c r="L42" s="13"/>
      <c r="M42" s="13"/>
      <c r="N42" s="13"/>
      <c r="O42" s="13"/>
      <c r="P42" s="13"/>
    </row>
    <row r="43" ht="42" customHeight="1" spans="1:16">
      <c r="A43" s="10" t="s">
        <v>150</v>
      </c>
      <c r="B43" s="11">
        <v>140</v>
      </c>
      <c r="C43" s="15" t="s">
        <v>193</v>
      </c>
      <c r="D43" s="13"/>
      <c r="E43" s="13">
        <f t="shared" si="22"/>
        <v>140</v>
      </c>
      <c r="F43" s="13">
        <f t="shared" si="1"/>
        <v>0</v>
      </c>
      <c r="G43" s="14">
        <f t="shared" si="23"/>
        <v>0</v>
      </c>
      <c r="H43" s="14">
        <f t="shared" si="2"/>
        <v>0</v>
      </c>
      <c r="I43" s="13"/>
      <c r="J43" s="13"/>
      <c r="K43" s="13"/>
      <c r="L43" s="13"/>
      <c r="M43" s="13"/>
      <c r="N43" s="13"/>
      <c r="O43" s="13"/>
      <c r="P43" s="13"/>
    </row>
    <row r="44" ht="42" customHeight="1" spans="1:16">
      <c r="A44" s="10" t="s">
        <v>150</v>
      </c>
      <c r="B44" s="11">
        <v>100</v>
      </c>
      <c r="C44" s="15" t="s">
        <v>194</v>
      </c>
      <c r="D44" s="13"/>
      <c r="E44" s="13">
        <f t="shared" si="22"/>
        <v>100</v>
      </c>
      <c r="F44" s="13">
        <f t="shared" si="1"/>
        <v>0</v>
      </c>
      <c r="G44" s="14">
        <f t="shared" si="23"/>
        <v>0</v>
      </c>
      <c r="H44" s="14">
        <f t="shared" si="2"/>
        <v>0</v>
      </c>
      <c r="I44" s="13"/>
      <c r="J44" s="13"/>
      <c r="K44" s="13"/>
      <c r="L44" s="13"/>
      <c r="M44" s="13"/>
      <c r="N44" s="13"/>
      <c r="O44" s="13"/>
      <c r="P44" s="13"/>
    </row>
    <row r="45" ht="42" customHeight="1" spans="1:16">
      <c r="A45" s="10" t="s">
        <v>195</v>
      </c>
      <c r="B45" s="11">
        <v>100</v>
      </c>
      <c r="C45" s="15" t="s">
        <v>196</v>
      </c>
      <c r="D45" s="13"/>
      <c r="E45" s="13">
        <f t="shared" si="22"/>
        <v>100</v>
      </c>
      <c r="F45" s="13">
        <f t="shared" si="1"/>
        <v>0</v>
      </c>
      <c r="G45" s="14">
        <f t="shared" si="23"/>
        <v>0</v>
      </c>
      <c r="H45" s="14">
        <f t="shared" si="2"/>
        <v>0</v>
      </c>
      <c r="I45" s="13"/>
      <c r="J45" s="13"/>
      <c r="K45" s="13"/>
      <c r="L45" s="13"/>
      <c r="M45" s="13"/>
      <c r="N45" s="13"/>
      <c r="O45" s="13"/>
      <c r="P45" s="13"/>
    </row>
    <row r="46" ht="42" customHeight="1" spans="1:16">
      <c r="A46" s="10" t="s">
        <v>197</v>
      </c>
      <c r="B46" s="11">
        <v>160</v>
      </c>
      <c r="C46" s="15" t="s">
        <v>198</v>
      </c>
      <c r="D46" s="13">
        <v>80</v>
      </c>
      <c r="E46" s="13">
        <f t="shared" si="22"/>
        <v>80</v>
      </c>
      <c r="F46" s="13">
        <f t="shared" si="1"/>
        <v>50</v>
      </c>
      <c r="G46" s="14">
        <f t="shared" si="23"/>
        <v>80</v>
      </c>
      <c r="H46" s="14">
        <f t="shared" si="2"/>
        <v>0</v>
      </c>
      <c r="I46" s="13"/>
      <c r="J46" s="13"/>
      <c r="K46" s="13"/>
      <c r="L46" s="13"/>
      <c r="M46" s="13"/>
      <c r="N46" s="13"/>
      <c r="O46" s="13"/>
      <c r="P46" s="13">
        <v>80</v>
      </c>
    </row>
    <row r="47" ht="43" customHeight="1" spans="1:16">
      <c r="A47" s="206" t="s">
        <v>27</v>
      </c>
      <c r="B47" s="177">
        <f t="shared" ref="B47:P47" si="25">B34+B6</f>
        <v>25022.5</v>
      </c>
      <c r="C47" s="177">
        <f t="shared" si="25"/>
        <v>0</v>
      </c>
      <c r="D47" s="178">
        <f t="shared" si="25"/>
        <v>18236.1</v>
      </c>
      <c r="E47" s="178">
        <f t="shared" si="25"/>
        <v>6786.4</v>
      </c>
      <c r="F47" s="178">
        <f t="shared" si="1"/>
        <v>72.8788090718353</v>
      </c>
      <c r="G47" s="178">
        <f t="shared" si="25"/>
        <v>18236.101</v>
      </c>
      <c r="H47" s="178">
        <f t="shared" si="25"/>
        <v>16046.7</v>
      </c>
      <c r="I47" s="178">
        <f t="shared" si="25"/>
        <v>4630.9</v>
      </c>
      <c r="J47" s="178">
        <f t="shared" si="25"/>
        <v>7404.6</v>
      </c>
      <c r="K47" s="178">
        <f t="shared" si="25"/>
        <v>2178.5</v>
      </c>
      <c r="L47" s="178">
        <f t="shared" si="25"/>
        <v>445.76</v>
      </c>
      <c r="M47" s="178">
        <f t="shared" si="25"/>
        <v>550</v>
      </c>
      <c r="N47" s="178">
        <f t="shared" si="25"/>
        <v>836.94</v>
      </c>
      <c r="O47" s="178">
        <f t="shared" si="25"/>
        <v>2093.16</v>
      </c>
      <c r="P47" s="178">
        <f t="shared" si="25"/>
        <v>96.241</v>
      </c>
    </row>
    <row r="48" ht="53" customHeight="1" spans="1:16">
      <c r="A48" s="207" t="s">
        <v>209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</row>
    <row r="49" ht="40" customHeight="1" spans="1:16">
      <c r="A49" s="203" t="s">
        <v>170</v>
      </c>
      <c r="B49" s="208">
        <f t="shared" ref="B49:P49" si="26">SUM(B50:B61)</f>
        <v>25022.5</v>
      </c>
      <c r="C49" s="178"/>
      <c r="D49" s="178">
        <f t="shared" si="26"/>
        <v>18236.1</v>
      </c>
      <c r="E49" s="178">
        <f t="shared" si="26"/>
        <v>6786.4</v>
      </c>
      <c r="F49" s="178">
        <f t="shared" ref="F49:F61" si="27">D49/B49*100</f>
        <v>72.8788090718354</v>
      </c>
      <c r="G49" s="178">
        <f t="shared" si="26"/>
        <v>18236.101</v>
      </c>
      <c r="H49" s="178">
        <f t="shared" si="26"/>
        <v>16046.7</v>
      </c>
      <c r="I49" s="178">
        <f t="shared" si="26"/>
        <v>4630.9</v>
      </c>
      <c r="J49" s="178">
        <f t="shared" si="26"/>
        <v>7404.6</v>
      </c>
      <c r="K49" s="178">
        <f t="shared" si="26"/>
        <v>2178.5</v>
      </c>
      <c r="L49" s="178">
        <f t="shared" si="26"/>
        <v>445.76</v>
      </c>
      <c r="M49" s="178">
        <f t="shared" si="26"/>
        <v>550</v>
      </c>
      <c r="N49" s="178">
        <f t="shared" si="26"/>
        <v>836.94</v>
      </c>
      <c r="O49" s="178">
        <f t="shared" si="26"/>
        <v>2093.16</v>
      </c>
      <c r="P49" s="178">
        <f t="shared" si="26"/>
        <v>96.241</v>
      </c>
    </row>
    <row r="50" ht="40" customHeight="1" spans="1:16">
      <c r="A50" s="10" t="s">
        <v>148</v>
      </c>
      <c r="B50" s="13">
        <f t="shared" ref="B50:P50" si="28">B9+B20+B32</f>
        <v>3177</v>
      </c>
      <c r="C50" s="13"/>
      <c r="D50" s="13">
        <f t="shared" si="28"/>
        <v>2093.16</v>
      </c>
      <c r="E50" s="13">
        <f t="shared" si="28"/>
        <v>1083.84</v>
      </c>
      <c r="F50" s="13">
        <f t="shared" si="27"/>
        <v>65.8847969782814</v>
      </c>
      <c r="G50" s="13">
        <f t="shared" si="28"/>
        <v>2093.16</v>
      </c>
      <c r="H50" s="13">
        <f t="shared" si="28"/>
        <v>0</v>
      </c>
      <c r="I50" s="13">
        <f t="shared" si="28"/>
        <v>0</v>
      </c>
      <c r="J50" s="13">
        <f t="shared" si="28"/>
        <v>0</v>
      </c>
      <c r="K50" s="13">
        <f t="shared" si="28"/>
        <v>0</v>
      </c>
      <c r="L50" s="13">
        <f t="shared" si="28"/>
        <v>0</v>
      </c>
      <c r="M50" s="13">
        <f t="shared" si="28"/>
        <v>0</v>
      </c>
      <c r="N50" s="13">
        <f t="shared" si="28"/>
        <v>0</v>
      </c>
      <c r="O50" s="13">
        <f t="shared" si="28"/>
        <v>2093.16</v>
      </c>
      <c r="P50" s="13">
        <f t="shared" si="28"/>
        <v>0</v>
      </c>
    </row>
    <row r="51" ht="40" customHeight="1" spans="1:16">
      <c r="A51" s="10" t="s">
        <v>150</v>
      </c>
      <c r="B51" s="13">
        <f t="shared" ref="B51:P51" si="29">B10+B16+B21+B28+B30+B43+B44+B25+B27+B36+B38+B40</f>
        <v>11849.5</v>
      </c>
      <c r="C51" s="13"/>
      <c r="D51" s="13">
        <f t="shared" si="29"/>
        <v>11366</v>
      </c>
      <c r="E51" s="13">
        <f t="shared" si="29"/>
        <v>483.5</v>
      </c>
      <c r="F51" s="13">
        <f t="shared" si="27"/>
        <v>95.9196590573442</v>
      </c>
      <c r="G51" s="13">
        <f t="shared" si="29"/>
        <v>11366</v>
      </c>
      <c r="H51" s="13">
        <f t="shared" si="29"/>
        <v>11366</v>
      </c>
      <c r="I51" s="13">
        <f t="shared" si="29"/>
        <v>4630.9</v>
      </c>
      <c r="J51" s="13">
        <f t="shared" si="29"/>
        <v>4531.6</v>
      </c>
      <c r="K51" s="13">
        <f t="shared" si="29"/>
        <v>2178.5</v>
      </c>
      <c r="L51" s="13">
        <f t="shared" si="29"/>
        <v>25</v>
      </c>
      <c r="M51" s="13">
        <f t="shared" si="29"/>
        <v>0</v>
      </c>
      <c r="N51" s="13">
        <f t="shared" si="29"/>
        <v>0</v>
      </c>
      <c r="O51" s="13">
        <f t="shared" si="29"/>
        <v>0</v>
      </c>
      <c r="P51" s="13">
        <f t="shared" si="29"/>
        <v>0</v>
      </c>
    </row>
    <row r="52" ht="40" customHeight="1" spans="1:16">
      <c r="A52" s="10" t="s">
        <v>152</v>
      </c>
      <c r="B52" s="13">
        <f t="shared" ref="B52:P52" si="30">B11+B17+B22</f>
        <v>2453</v>
      </c>
      <c r="C52" s="13"/>
      <c r="D52" s="13">
        <f t="shared" si="30"/>
        <v>0</v>
      </c>
      <c r="E52" s="13">
        <f t="shared" si="30"/>
        <v>2453</v>
      </c>
      <c r="F52" s="13">
        <f t="shared" si="27"/>
        <v>0</v>
      </c>
      <c r="G52" s="13">
        <f t="shared" si="30"/>
        <v>0</v>
      </c>
      <c r="H52" s="13">
        <f t="shared" si="30"/>
        <v>0</v>
      </c>
      <c r="I52" s="13">
        <f t="shared" si="30"/>
        <v>0</v>
      </c>
      <c r="J52" s="13">
        <f t="shared" si="30"/>
        <v>0</v>
      </c>
      <c r="K52" s="13">
        <f t="shared" si="30"/>
        <v>0</v>
      </c>
      <c r="L52" s="13">
        <f t="shared" si="30"/>
        <v>0</v>
      </c>
      <c r="M52" s="13">
        <f t="shared" si="30"/>
        <v>0</v>
      </c>
      <c r="N52" s="13">
        <f t="shared" si="30"/>
        <v>0</v>
      </c>
      <c r="O52" s="13">
        <f t="shared" si="30"/>
        <v>0</v>
      </c>
      <c r="P52" s="13">
        <f t="shared" si="30"/>
        <v>0</v>
      </c>
    </row>
    <row r="53" ht="40" customHeight="1" spans="1:16">
      <c r="A53" s="10" t="s">
        <v>154</v>
      </c>
      <c r="B53" s="13">
        <f t="shared" ref="B53:P53" si="31">B12</f>
        <v>567</v>
      </c>
      <c r="C53" s="13"/>
      <c r="D53" s="13">
        <f t="shared" si="31"/>
        <v>567</v>
      </c>
      <c r="E53" s="13">
        <f t="shared" si="31"/>
        <v>0</v>
      </c>
      <c r="F53" s="13">
        <f t="shared" si="27"/>
        <v>100</v>
      </c>
      <c r="G53" s="13">
        <f t="shared" si="31"/>
        <v>567</v>
      </c>
      <c r="H53" s="13">
        <f t="shared" si="31"/>
        <v>567</v>
      </c>
      <c r="I53" s="13">
        <f t="shared" si="31"/>
        <v>0</v>
      </c>
      <c r="J53" s="13">
        <f t="shared" si="31"/>
        <v>0</v>
      </c>
      <c r="K53" s="13">
        <f t="shared" si="31"/>
        <v>0</v>
      </c>
      <c r="L53" s="13">
        <f t="shared" si="31"/>
        <v>0</v>
      </c>
      <c r="M53" s="13">
        <f t="shared" si="31"/>
        <v>0</v>
      </c>
      <c r="N53" s="13">
        <f t="shared" si="31"/>
        <v>567</v>
      </c>
      <c r="O53" s="13">
        <f t="shared" si="31"/>
        <v>0</v>
      </c>
      <c r="P53" s="13">
        <f t="shared" si="31"/>
        <v>0</v>
      </c>
    </row>
    <row r="54" ht="40" customHeight="1" spans="1:16">
      <c r="A54" s="10" t="s">
        <v>36</v>
      </c>
      <c r="B54" s="13">
        <f t="shared" ref="B54:P54" si="32">B13+B33</f>
        <v>856</v>
      </c>
      <c r="C54" s="13"/>
      <c r="D54" s="13">
        <f t="shared" si="32"/>
        <v>286.5</v>
      </c>
      <c r="E54" s="13">
        <f t="shared" si="32"/>
        <v>569.5</v>
      </c>
      <c r="F54" s="13">
        <f t="shared" si="27"/>
        <v>33.4696261682243</v>
      </c>
      <c r="G54" s="13">
        <f t="shared" si="32"/>
        <v>286.501</v>
      </c>
      <c r="H54" s="13">
        <f t="shared" si="32"/>
        <v>270.26</v>
      </c>
      <c r="I54" s="13">
        <f t="shared" si="32"/>
        <v>0</v>
      </c>
      <c r="J54" s="13">
        <f t="shared" si="32"/>
        <v>0</v>
      </c>
      <c r="K54" s="13">
        <f t="shared" si="32"/>
        <v>0</v>
      </c>
      <c r="L54" s="13">
        <f t="shared" si="32"/>
        <v>191.7</v>
      </c>
      <c r="M54" s="13">
        <f t="shared" si="32"/>
        <v>0</v>
      </c>
      <c r="N54" s="13">
        <f t="shared" si="32"/>
        <v>78.56</v>
      </c>
      <c r="O54" s="13">
        <f t="shared" si="32"/>
        <v>0</v>
      </c>
      <c r="P54" s="13">
        <f t="shared" si="32"/>
        <v>16.241</v>
      </c>
    </row>
    <row r="55" ht="40" customHeight="1" spans="1:16">
      <c r="A55" s="10" t="s">
        <v>33</v>
      </c>
      <c r="B55" s="13">
        <f t="shared" ref="B55:P55" si="33">B14+B24</f>
        <v>3260</v>
      </c>
      <c r="C55" s="13"/>
      <c r="D55" s="13">
        <f t="shared" si="33"/>
        <v>3064.38</v>
      </c>
      <c r="E55" s="13">
        <f t="shared" si="33"/>
        <v>195.62</v>
      </c>
      <c r="F55" s="13">
        <f t="shared" si="27"/>
        <v>93.9993865030675</v>
      </c>
      <c r="G55" s="13">
        <f t="shared" si="33"/>
        <v>3064.38</v>
      </c>
      <c r="H55" s="13">
        <f t="shared" si="33"/>
        <v>3064.38</v>
      </c>
      <c r="I55" s="13">
        <f t="shared" si="33"/>
        <v>0</v>
      </c>
      <c r="J55" s="13">
        <f t="shared" si="33"/>
        <v>2873</v>
      </c>
      <c r="K55" s="13">
        <f t="shared" si="33"/>
        <v>0</v>
      </c>
      <c r="L55" s="13">
        <f t="shared" si="33"/>
        <v>0</v>
      </c>
      <c r="M55" s="13">
        <f t="shared" si="33"/>
        <v>0</v>
      </c>
      <c r="N55" s="13">
        <f t="shared" si="33"/>
        <v>191.38</v>
      </c>
      <c r="O55" s="13">
        <f t="shared" si="33"/>
        <v>0</v>
      </c>
      <c r="P55" s="13">
        <f t="shared" si="33"/>
        <v>0</v>
      </c>
    </row>
    <row r="56" ht="40" customHeight="1" spans="1:16">
      <c r="A56" s="10" t="s">
        <v>199</v>
      </c>
      <c r="B56" s="13">
        <f t="shared" ref="B56:P56" si="34">B18</f>
        <v>50</v>
      </c>
      <c r="C56" s="13"/>
      <c r="D56" s="13">
        <f t="shared" si="34"/>
        <v>0</v>
      </c>
      <c r="E56" s="13">
        <f t="shared" si="34"/>
        <v>50</v>
      </c>
      <c r="F56" s="13">
        <f t="shared" si="27"/>
        <v>0</v>
      </c>
      <c r="G56" s="13">
        <f t="shared" si="34"/>
        <v>0</v>
      </c>
      <c r="H56" s="13">
        <f t="shared" si="34"/>
        <v>0</v>
      </c>
      <c r="I56" s="13">
        <f t="shared" si="34"/>
        <v>0</v>
      </c>
      <c r="J56" s="13">
        <f t="shared" si="34"/>
        <v>0</v>
      </c>
      <c r="K56" s="13">
        <f t="shared" si="34"/>
        <v>0</v>
      </c>
      <c r="L56" s="13">
        <f t="shared" si="34"/>
        <v>0</v>
      </c>
      <c r="M56" s="13">
        <f t="shared" si="34"/>
        <v>0</v>
      </c>
      <c r="N56" s="13">
        <f t="shared" si="34"/>
        <v>0</v>
      </c>
      <c r="O56" s="13">
        <f t="shared" si="34"/>
        <v>0</v>
      </c>
      <c r="P56" s="13">
        <f t="shared" si="34"/>
        <v>0</v>
      </c>
    </row>
    <row r="57" ht="40" customHeight="1" spans="1:16">
      <c r="A57" s="10" t="s">
        <v>37</v>
      </c>
      <c r="B57" s="13">
        <f t="shared" ref="B57:P57" si="35">B26+B37+B39</f>
        <v>1400</v>
      </c>
      <c r="C57" s="13"/>
      <c r="D57" s="13">
        <f t="shared" si="35"/>
        <v>779.06</v>
      </c>
      <c r="E57" s="13">
        <f t="shared" si="35"/>
        <v>620.94</v>
      </c>
      <c r="F57" s="13">
        <f t="shared" si="27"/>
        <v>55.6471428571429</v>
      </c>
      <c r="G57" s="13">
        <f t="shared" si="35"/>
        <v>779.06</v>
      </c>
      <c r="H57" s="13">
        <f t="shared" si="35"/>
        <v>779.06</v>
      </c>
      <c r="I57" s="13">
        <f t="shared" si="35"/>
        <v>0</v>
      </c>
      <c r="J57" s="13">
        <f t="shared" si="35"/>
        <v>0</v>
      </c>
      <c r="K57" s="13">
        <f t="shared" si="35"/>
        <v>0</v>
      </c>
      <c r="L57" s="13">
        <f t="shared" si="35"/>
        <v>229.06</v>
      </c>
      <c r="M57" s="13">
        <f t="shared" si="35"/>
        <v>550</v>
      </c>
      <c r="N57" s="13">
        <f t="shared" si="35"/>
        <v>0</v>
      </c>
      <c r="O57" s="13">
        <f t="shared" si="35"/>
        <v>0</v>
      </c>
      <c r="P57" s="13">
        <f t="shared" si="35"/>
        <v>0</v>
      </c>
    </row>
    <row r="58" ht="40" customHeight="1" spans="1:16">
      <c r="A58" s="10" t="s">
        <v>191</v>
      </c>
      <c r="B58" s="13">
        <f t="shared" ref="B58:P58" si="36">B42</f>
        <v>150</v>
      </c>
      <c r="C58" s="13"/>
      <c r="D58" s="13">
        <f t="shared" si="36"/>
        <v>0</v>
      </c>
      <c r="E58" s="13">
        <f t="shared" si="36"/>
        <v>150</v>
      </c>
      <c r="F58" s="13">
        <f t="shared" si="27"/>
        <v>0</v>
      </c>
      <c r="G58" s="13">
        <f t="shared" si="36"/>
        <v>0</v>
      </c>
      <c r="H58" s="13">
        <f t="shared" si="36"/>
        <v>0</v>
      </c>
      <c r="I58" s="13">
        <f t="shared" si="36"/>
        <v>0</v>
      </c>
      <c r="J58" s="13">
        <f t="shared" si="36"/>
        <v>0</v>
      </c>
      <c r="K58" s="13">
        <f t="shared" si="36"/>
        <v>0</v>
      </c>
      <c r="L58" s="13">
        <f t="shared" si="36"/>
        <v>0</v>
      </c>
      <c r="M58" s="13">
        <f t="shared" si="36"/>
        <v>0</v>
      </c>
      <c r="N58" s="13">
        <f t="shared" si="36"/>
        <v>0</v>
      </c>
      <c r="O58" s="13">
        <f t="shared" si="36"/>
        <v>0</v>
      </c>
      <c r="P58" s="13">
        <f t="shared" si="36"/>
        <v>0</v>
      </c>
    </row>
    <row r="59" ht="38" customHeight="1" spans="1:16">
      <c r="A59" s="10" t="s">
        <v>195</v>
      </c>
      <c r="B59" s="13">
        <f t="shared" ref="B59:P59" si="37">B45</f>
        <v>100</v>
      </c>
      <c r="C59" s="13"/>
      <c r="D59" s="13">
        <f t="shared" si="37"/>
        <v>0</v>
      </c>
      <c r="E59" s="13">
        <f t="shared" si="37"/>
        <v>100</v>
      </c>
      <c r="F59" s="13">
        <f t="shared" si="27"/>
        <v>0</v>
      </c>
      <c r="G59" s="13">
        <f t="shared" si="37"/>
        <v>0</v>
      </c>
      <c r="H59" s="13">
        <f t="shared" si="37"/>
        <v>0</v>
      </c>
      <c r="I59" s="13">
        <f t="shared" si="37"/>
        <v>0</v>
      </c>
      <c r="J59" s="13">
        <f t="shared" si="37"/>
        <v>0</v>
      </c>
      <c r="K59" s="13">
        <f t="shared" si="37"/>
        <v>0</v>
      </c>
      <c r="L59" s="13">
        <f t="shared" si="37"/>
        <v>0</v>
      </c>
      <c r="M59" s="13">
        <f t="shared" si="37"/>
        <v>0</v>
      </c>
      <c r="N59" s="13">
        <f t="shared" si="37"/>
        <v>0</v>
      </c>
      <c r="O59" s="13">
        <f t="shared" si="37"/>
        <v>0</v>
      </c>
      <c r="P59" s="13">
        <f t="shared" si="37"/>
        <v>0</v>
      </c>
    </row>
    <row r="60" ht="38" customHeight="1" spans="1:16">
      <c r="A60" s="10" t="s">
        <v>35</v>
      </c>
      <c r="B60" s="13">
        <f t="shared" ref="B60:P60" si="38">B31</f>
        <v>1000</v>
      </c>
      <c r="C60" s="13"/>
      <c r="D60" s="13">
        <f t="shared" si="38"/>
        <v>0</v>
      </c>
      <c r="E60" s="13">
        <f t="shared" si="38"/>
        <v>1000</v>
      </c>
      <c r="F60" s="13">
        <f t="shared" si="27"/>
        <v>0</v>
      </c>
      <c r="G60" s="13">
        <f t="shared" si="38"/>
        <v>0</v>
      </c>
      <c r="H60" s="13">
        <f t="shared" si="38"/>
        <v>0</v>
      </c>
      <c r="I60" s="13">
        <f t="shared" si="38"/>
        <v>0</v>
      </c>
      <c r="J60" s="13">
        <f t="shared" si="38"/>
        <v>0</v>
      </c>
      <c r="K60" s="13">
        <f t="shared" si="38"/>
        <v>0</v>
      </c>
      <c r="L60" s="13">
        <f t="shared" si="38"/>
        <v>0</v>
      </c>
      <c r="M60" s="13">
        <f t="shared" si="38"/>
        <v>0</v>
      </c>
      <c r="N60" s="13">
        <f t="shared" si="38"/>
        <v>0</v>
      </c>
      <c r="O60" s="13">
        <f t="shared" si="38"/>
        <v>0</v>
      </c>
      <c r="P60" s="13">
        <f t="shared" si="38"/>
        <v>0</v>
      </c>
    </row>
    <row r="61" ht="38" customHeight="1" spans="1:16">
      <c r="A61" s="10" t="s">
        <v>197</v>
      </c>
      <c r="B61" s="13">
        <f t="shared" ref="B61:P61" si="39">B46</f>
        <v>160</v>
      </c>
      <c r="C61" s="13"/>
      <c r="D61" s="13">
        <f t="shared" si="39"/>
        <v>80</v>
      </c>
      <c r="E61" s="13">
        <f t="shared" si="39"/>
        <v>80</v>
      </c>
      <c r="F61" s="13">
        <f t="shared" si="27"/>
        <v>50</v>
      </c>
      <c r="G61" s="13">
        <f t="shared" si="39"/>
        <v>80</v>
      </c>
      <c r="H61" s="13">
        <f t="shared" si="39"/>
        <v>0</v>
      </c>
      <c r="I61" s="13">
        <f t="shared" si="39"/>
        <v>0</v>
      </c>
      <c r="J61" s="13">
        <f t="shared" si="39"/>
        <v>0</v>
      </c>
      <c r="K61" s="13">
        <f t="shared" si="39"/>
        <v>0</v>
      </c>
      <c r="L61" s="13">
        <f t="shared" si="39"/>
        <v>0</v>
      </c>
      <c r="M61" s="13">
        <f t="shared" si="39"/>
        <v>0</v>
      </c>
      <c r="N61" s="13">
        <f t="shared" si="39"/>
        <v>0</v>
      </c>
      <c r="O61" s="13">
        <f t="shared" si="39"/>
        <v>0</v>
      </c>
      <c r="P61" s="13">
        <f t="shared" si="39"/>
        <v>80</v>
      </c>
    </row>
  </sheetData>
  <mergeCells count="15">
    <mergeCell ref="A1:P1"/>
    <mergeCell ref="C2:K2"/>
    <mergeCell ref="O2:P2"/>
    <mergeCell ref="G3:P3"/>
    <mergeCell ref="H4:N4"/>
    <mergeCell ref="A48:P48"/>
    <mergeCell ref="A3:A5"/>
    <mergeCell ref="B3:B5"/>
    <mergeCell ref="C3:C5"/>
    <mergeCell ref="D3:D5"/>
    <mergeCell ref="E3:E5"/>
    <mergeCell ref="F3:F5"/>
    <mergeCell ref="G4:G5"/>
    <mergeCell ref="O4:O5"/>
    <mergeCell ref="P4:P5"/>
  </mergeCells>
  <pageMargins left="0.609027777777778" right="0.354166666666667" top="0.393055555555556" bottom="0.196527777777778" header="0.511805555555556" footer="0.511805555555556"/>
  <pageSetup paperSize="9" scale="52" fitToHeight="0" orientation="landscape" horizont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1"/>
  <sheetViews>
    <sheetView showZeros="0" zoomScale="70" zoomScaleNormal="70" workbookViewId="0">
      <pane xSplit="1" ySplit="5" topLeftCell="B33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34.8916666666667" customWidth="1"/>
    <col min="2" max="2" width="13.1833333333333" customWidth="1"/>
    <col min="3" max="3" width="35.5916666666667" customWidth="1"/>
    <col min="4" max="4" width="13.1916666666667" customWidth="1"/>
    <col min="5" max="5" width="12.0833333333333" customWidth="1"/>
    <col min="6" max="6" width="10.75" customWidth="1"/>
    <col min="7" max="7" width="13.025" customWidth="1"/>
    <col min="8" max="8" width="13.1916666666667" customWidth="1"/>
    <col min="9" max="9" width="12.25" customWidth="1"/>
    <col min="10" max="10" width="12.9166666666667" customWidth="1"/>
    <col min="11" max="11" width="13.1666666666667" customWidth="1"/>
    <col min="12" max="12" width="10.5916666666667" customWidth="1"/>
    <col min="13" max="13" width="11.25" customWidth="1"/>
    <col min="14" max="14" width="12.5" customWidth="1"/>
    <col min="15" max="15" width="12.15" customWidth="1"/>
    <col min="16" max="16" width="10.75" customWidth="1"/>
  </cols>
  <sheetData>
    <row r="1" ht="38" customHeight="1" spans="1:16">
      <c r="A1" s="1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8" customHeight="1" spans="1:16">
      <c r="A2" s="2" t="s">
        <v>118</v>
      </c>
      <c r="B2" s="3"/>
      <c r="C2" s="4" t="s">
        <v>211</v>
      </c>
      <c r="D2" s="4"/>
      <c r="E2" s="4"/>
      <c r="F2" s="4"/>
      <c r="G2" s="4"/>
      <c r="H2" s="4"/>
      <c r="I2" s="4"/>
      <c r="J2" s="4"/>
      <c r="K2" s="4"/>
      <c r="L2" s="16"/>
      <c r="M2" s="16"/>
      <c r="N2" s="16"/>
      <c r="O2" s="17" t="s">
        <v>3</v>
      </c>
      <c r="P2" s="17"/>
    </row>
    <row r="3" ht="23" customHeight="1" spans="1:16">
      <c r="A3" s="174" t="s">
        <v>134</v>
      </c>
      <c r="B3" s="174" t="s">
        <v>135</v>
      </c>
      <c r="C3" s="174" t="s">
        <v>62</v>
      </c>
      <c r="D3" s="175" t="s">
        <v>136</v>
      </c>
      <c r="E3" s="175" t="s">
        <v>137</v>
      </c>
      <c r="F3" s="175" t="s">
        <v>7</v>
      </c>
      <c r="G3" s="174" t="s">
        <v>65</v>
      </c>
      <c r="H3" s="174"/>
      <c r="I3" s="174"/>
      <c r="J3" s="174"/>
      <c r="K3" s="174"/>
      <c r="L3" s="174"/>
      <c r="M3" s="174"/>
      <c r="N3" s="174"/>
      <c r="O3" s="174"/>
      <c r="P3" s="174"/>
    </row>
    <row r="4" ht="23" customHeight="1" spans="1:16">
      <c r="A4" s="174"/>
      <c r="B4" s="174"/>
      <c r="C4" s="174"/>
      <c r="D4" s="175"/>
      <c r="E4" s="175"/>
      <c r="F4" s="175"/>
      <c r="G4" s="174" t="s">
        <v>138</v>
      </c>
      <c r="H4" s="174" t="s">
        <v>139</v>
      </c>
      <c r="I4" s="174"/>
      <c r="J4" s="174"/>
      <c r="K4" s="174"/>
      <c r="L4" s="174"/>
      <c r="M4" s="174"/>
      <c r="N4" s="174"/>
      <c r="O4" s="181" t="s">
        <v>140</v>
      </c>
      <c r="P4" s="174" t="s">
        <v>141</v>
      </c>
    </row>
    <row r="5" ht="23" customHeight="1" spans="1:16">
      <c r="A5" s="174"/>
      <c r="B5" s="174"/>
      <c r="C5" s="174"/>
      <c r="D5" s="175"/>
      <c r="E5" s="175"/>
      <c r="F5" s="175"/>
      <c r="G5" s="174"/>
      <c r="H5" s="174" t="s">
        <v>66</v>
      </c>
      <c r="I5" s="174" t="s">
        <v>142</v>
      </c>
      <c r="J5" s="174" t="s">
        <v>143</v>
      </c>
      <c r="K5" s="174" t="s">
        <v>144</v>
      </c>
      <c r="L5" s="175" t="s">
        <v>69</v>
      </c>
      <c r="M5" s="175" t="s">
        <v>145</v>
      </c>
      <c r="N5" s="174" t="s">
        <v>131</v>
      </c>
      <c r="O5" s="181"/>
      <c r="P5" s="174"/>
    </row>
    <row r="6" ht="42" customHeight="1" spans="1:16">
      <c r="A6" s="203" t="s">
        <v>93</v>
      </c>
      <c r="B6" s="204">
        <f t="shared" ref="B6:G6" si="0">B7+B19+B23+B29</f>
        <v>22022.5</v>
      </c>
      <c r="C6" s="204">
        <f t="shared" si="0"/>
        <v>0</v>
      </c>
      <c r="D6" s="179">
        <f t="shared" si="0"/>
        <v>16701.94</v>
      </c>
      <c r="E6" s="179">
        <f t="shared" si="0"/>
        <v>5320.56</v>
      </c>
      <c r="F6" s="178">
        <f t="shared" ref="F6:F47" si="1">D6/B6*100</f>
        <v>75.8403451016006</v>
      </c>
      <c r="G6" s="179">
        <f t="shared" si="0"/>
        <v>16701.94</v>
      </c>
      <c r="H6" s="179">
        <f t="shared" ref="H6:H46" si="2">SUM(I6:N6)</f>
        <v>14569.94</v>
      </c>
      <c r="I6" s="179">
        <f t="shared" ref="I6:P6" si="3">SUM(I7,I19,I23,I29)</f>
        <v>4630.9</v>
      </c>
      <c r="J6" s="179">
        <f t="shared" si="3"/>
        <v>6503</v>
      </c>
      <c r="K6" s="179">
        <f t="shared" si="3"/>
        <v>1838.5</v>
      </c>
      <c r="L6" s="179">
        <f t="shared" si="3"/>
        <v>240.6</v>
      </c>
      <c r="M6" s="179">
        <f t="shared" si="3"/>
        <v>520</v>
      </c>
      <c r="N6" s="179">
        <f t="shared" si="3"/>
        <v>836.94</v>
      </c>
      <c r="O6" s="179">
        <f t="shared" si="3"/>
        <v>2093.16</v>
      </c>
      <c r="P6" s="179">
        <f t="shared" si="3"/>
        <v>38.84</v>
      </c>
    </row>
    <row r="7" ht="42" customHeight="1" spans="1:16">
      <c r="A7" s="185" t="s">
        <v>180</v>
      </c>
      <c r="B7" s="186">
        <f>B8+B15+B18</f>
        <v>11910</v>
      </c>
      <c r="C7" s="186"/>
      <c r="D7" s="186">
        <f>D8+D15+D18</f>
        <v>9069.28</v>
      </c>
      <c r="E7" s="186">
        <f>E8+E15+E18</f>
        <v>2840.72</v>
      </c>
      <c r="F7" s="13">
        <f t="shared" si="1"/>
        <v>76.1484466834593</v>
      </c>
      <c r="G7" s="14">
        <f>SUM(G8,G15,G18)</f>
        <v>9069.28</v>
      </c>
      <c r="H7" s="14">
        <f t="shared" si="2"/>
        <v>8862.44</v>
      </c>
      <c r="I7" s="14">
        <f t="shared" ref="I7:P7" si="4">SUM(I8,I18)</f>
        <v>4615.9</v>
      </c>
      <c r="J7" s="14">
        <f t="shared" si="4"/>
        <v>2669</v>
      </c>
      <c r="K7" s="14">
        <f>K8+K15+K18</f>
        <v>500</v>
      </c>
      <c r="L7" s="14">
        <f t="shared" si="4"/>
        <v>240.6</v>
      </c>
      <c r="M7" s="14">
        <f t="shared" si="4"/>
        <v>0</v>
      </c>
      <c r="N7" s="14">
        <f t="shared" si="4"/>
        <v>836.94</v>
      </c>
      <c r="O7" s="14">
        <f t="shared" si="4"/>
        <v>168</v>
      </c>
      <c r="P7" s="14">
        <f t="shared" si="4"/>
        <v>38.84</v>
      </c>
    </row>
    <row r="8" ht="42" customHeight="1" spans="1:16">
      <c r="A8" s="180" t="s">
        <v>181</v>
      </c>
      <c r="B8" s="186">
        <f t="shared" ref="B8:G8" si="5">SUM(B9:B14)</f>
        <v>11036</v>
      </c>
      <c r="C8" s="187"/>
      <c r="D8" s="14">
        <f t="shared" si="5"/>
        <v>8569.28</v>
      </c>
      <c r="E8" s="14">
        <f t="shared" si="5"/>
        <v>2466.72</v>
      </c>
      <c r="F8" s="13">
        <f t="shared" si="1"/>
        <v>77.6484233417905</v>
      </c>
      <c r="G8" s="14">
        <f t="shared" si="5"/>
        <v>8569.28</v>
      </c>
      <c r="H8" s="14">
        <f t="shared" si="2"/>
        <v>8362.44</v>
      </c>
      <c r="I8" s="14">
        <f t="shared" ref="I8:P8" si="6">SUM(I9:I14)</f>
        <v>4615.9</v>
      </c>
      <c r="J8" s="14">
        <f t="shared" si="6"/>
        <v>2669</v>
      </c>
      <c r="K8" s="14">
        <f t="shared" si="6"/>
        <v>0</v>
      </c>
      <c r="L8" s="14">
        <f t="shared" si="6"/>
        <v>240.6</v>
      </c>
      <c r="M8" s="14">
        <f t="shared" si="6"/>
        <v>0</v>
      </c>
      <c r="N8" s="14">
        <f t="shared" si="6"/>
        <v>836.94</v>
      </c>
      <c r="O8" s="14">
        <f t="shared" si="6"/>
        <v>168</v>
      </c>
      <c r="P8" s="14">
        <f t="shared" si="6"/>
        <v>38.84</v>
      </c>
    </row>
    <row r="9" ht="42" customHeight="1" spans="1:16">
      <c r="A9" s="10" t="s">
        <v>148</v>
      </c>
      <c r="B9" s="11">
        <v>168</v>
      </c>
      <c r="C9" s="15" t="s">
        <v>149</v>
      </c>
      <c r="D9" s="13">
        <v>168</v>
      </c>
      <c r="E9" s="13">
        <f t="shared" ref="E9:E22" si="7">B9-D9</f>
        <v>0</v>
      </c>
      <c r="F9" s="13">
        <f t="shared" si="1"/>
        <v>100</v>
      </c>
      <c r="G9" s="13">
        <f t="shared" ref="G9:G22" si="8">SUM(I9:P9)</f>
        <v>168</v>
      </c>
      <c r="H9" s="14">
        <f t="shared" si="2"/>
        <v>0</v>
      </c>
      <c r="I9" s="13"/>
      <c r="J9" s="13"/>
      <c r="K9" s="13"/>
      <c r="L9" s="196"/>
      <c r="M9" s="196"/>
      <c r="N9" s="196"/>
      <c r="O9" s="13">
        <v>168</v>
      </c>
      <c r="P9" s="13"/>
    </row>
    <row r="10" ht="42" customHeight="1" spans="1:16">
      <c r="A10" s="10" t="s">
        <v>150</v>
      </c>
      <c r="B10" s="11">
        <v>4631</v>
      </c>
      <c r="C10" s="39" t="s">
        <v>151</v>
      </c>
      <c r="D10" s="13">
        <v>4615.9</v>
      </c>
      <c r="E10" s="13">
        <f t="shared" si="7"/>
        <v>15.1000000000004</v>
      </c>
      <c r="F10" s="13">
        <f t="shared" si="1"/>
        <v>99.6739365147916</v>
      </c>
      <c r="G10" s="13">
        <f t="shared" si="8"/>
        <v>4615.9</v>
      </c>
      <c r="H10" s="14">
        <f t="shared" si="2"/>
        <v>4615.9</v>
      </c>
      <c r="I10" s="13">
        <v>4615.9</v>
      </c>
      <c r="J10" s="13"/>
      <c r="K10" s="13"/>
      <c r="L10" s="13"/>
      <c r="M10" s="13"/>
      <c r="N10" s="13"/>
      <c r="O10" s="13"/>
      <c r="P10" s="13"/>
    </row>
    <row r="11" ht="42" customHeight="1" spans="1:16">
      <c r="A11" s="10" t="s">
        <v>152</v>
      </c>
      <c r="B11" s="11">
        <v>2058</v>
      </c>
      <c r="C11" s="15" t="s">
        <v>153</v>
      </c>
      <c r="D11" s="13"/>
      <c r="E11" s="13">
        <f t="shared" si="7"/>
        <v>2058</v>
      </c>
      <c r="F11" s="13">
        <f t="shared" si="1"/>
        <v>0</v>
      </c>
      <c r="G11" s="13">
        <f t="shared" si="8"/>
        <v>0</v>
      </c>
      <c r="H11" s="14">
        <f t="shared" si="2"/>
        <v>0</v>
      </c>
      <c r="I11" s="13"/>
      <c r="J11" s="13"/>
      <c r="K11" s="13"/>
      <c r="L11" s="13"/>
      <c r="M11" s="13"/>
      <c r="N11" s="13"/>
      <c r="O11" s="13"/>
      <c r="P11" s="13"/>
    </row>
    <row r="12" ht="42" customHeight="1" spans="1:16">
      <c r="A12" s="10" t="s">
        <v>154</v>
      </c>
      <c r="B12" s="11">
        <v>567</v>
      </c>
      <c r="C12" s="15" t="s">
        <v>155</v>
      </c>
      <c r="D12" s="13">
        <v>567</v>
      </c>
      <c r="E12" s="13">
        <f t="shared" si="7"/>
        <v>0</v>
      </c>
      <c r="F12" s="13">
        <f t="shared" si="1"/>
        <v>100</v>
      </c>
      <c r="G12" s="13">
        <f t="shared" si="8"/>
        <v>567</v>
      </c>
      <c r="H12" s="14">
        <f t="shared" si="2"/>
        <v>567</v>
      </c>
      <c r="I12" s="196"/>
      <c r="J12" s="13"/>
      <c r="K12" s="13"/>
      <c r="L12" s="13"/>
      <c r="M12" s="13"/>
      <c r="N12" s="13">
        <v>567</v>
      </c>
      <c r="O12" s="13"/>
      <c r="P12" s="13"/>
    </row>
    <row r="13" ht="42" customHeight="1" spans="1:16">
      <c r="A13" s="10" t="s">
        <v>36</v>
      </c>
      <c r="B13" s="11">
        <f>176+380</f>
        <v>556</v>
      </c>
      <c r="C13" s="39" t="s">
        <v>156</v>
      </c>
      <c r="D13" s="13">
        <v>358</v>
      </c>
      <c r="E13" s="13">
        <f t="shared" si="7"/>
        <v>198</v>
      </c>
      <c r="F13" s="13">
        <f t="shared" si="1"/>
        <v>64.3884892086331</v>
      </c>
      <c r="G13" s="13">
        <f t="shared" si="8"/>
        <v>358</v>
      </c>
      <c r="H13" s="14">
        <f t="shared" si="2"/>
        <v>319.16</v>
      </c>
      <c r="I13" s="13"/>
      <c r="J13" s="13"/>
      <c r="K13" s="13"/>
      <c r="L13" s="13">
        <v>240.6</v>
      </c>
      <c r="M13" s="13"/>
      <c r="N13" s="13">
        <v>78.56</v>
      </c>
      <c r="O13" s="13"/>
      <c r="P13" s="13">
        <v>38.84</v>
      </c>
    </row>
    <row r="14" ht="42" customHeight="1" spans="1:16">
      <c r="A14" s="10" t="s">
        <v>33</v>
      </c>
      <c r="B14" s="11">
        <f>387+2669</f>
        <v>3056</v>
      </c>
      <c r="C14" s="15" t="s">
        <v>157</v>
      </c>
      <c r="D14" s="13">
        <v>2860.38</v>
      </c>
      <c r="E14" s="13">
        <f t="shared" si="7"/>
        <v>195.62</v>
      </c>
      <c r="F14" s="13">
        <f t="shared" si="1"/>
        <v>93.5988219895288</v>
      </c>
      <c r="G14" s="13">
        <f t="shared" si="8"/>
        <v>2860.38</v>
      </c>
      <c r="H14" s="14">
        <f t="shared" si="2"/>
        <v>2860.38</v>
      </c>
      <c r="I14" s="13"/>
      <c r="J14" s="13">
        <v>2669</v>
      </c>
      <c r="K14" s="13"/>
      <c r="L14" s="13"/>
      <c r="M14" s="13"/>
      <c r="N14" s="13">
        <v>191.38</v>
      </c>
      <c r="O14" s="13"/>
      <c r="P14" s="13"/>
    </row>
    <row r="15" ht="42" customHeight="1" spans="1:16">
      <c r="A15" s="180" t="s">
        <v>182</v>
      </c>
      <c r="B15" s="11">
        <f>B16+B17</f>
        <v>824</v>
      </c>
      <c r="C15" s="15"/>
      <c r="D15" s="13">
        <v>500</v>
      </c>
      <c r="E15" s="13">
        <f t="shared" si="7"/>
        <v>324</v>
      </c>
      <c r="F15" s="13">
        <f t="shared" si="1"/>
        <v>60.6796116504854</v>
      </c>
      <c r="G15" s="13">
        <f t="shared" si="8"/>
        <v>500</v>
      </c>
      <c r="H15" s="14">
        <f t="shared" si="2"/>
        <v>500</v>
      </c>
      <c r="I15" s="13"/>
      <c r="J15" s="13"/>
      <c r="K15" s="13">
        <v>500</v>
      </c>
      <c r="L15" s="13"/>
      <c r="M15" s="13"/>
      <c r="N15" s="13"/>
      <c r="O15" s="13"/>
      <c r="P15" s="13"/>
    </row>
    <row r="16" ht="42" customHeight="1" spans="1:16">
      <c r="A16" s="10" t="s">
        <v>150</v>
      </c>
      <c r="B16" s="11">
        <v>500</v>
      </c>
      <c r="C16" s="15" t="s">
        <v>164</v>
      </c>
      <c r="D16" s="13">
        <v>500</v>
      </c>
      <c r="E16" s="13">
        <f t="shared" si="7"/>
        <v>0</v>
      </c>
      <c r="F16" s="13">
        <f t="shared" si="1"/>
        <v>100</v>
      </c>
      <c r="G16" s="13">
        <f t="shared" si="8"/>
        <v>500</v>
      </c>
      <c r="H16" s="14">
        <f t="shared" si="2"/>
        <v>500</v>
      </c>
      <c r="I16" s="13"/>
      <c r="J16" s="13"/>
      <c r="K16" s="13">
        <v>500</v>
      </c>
      <c r="L16" s="13"/>
      <c r="M16" s="13"/>
      <c r="N16" s="13"/>
      <c r="O16" s="13"/>
      <c r="P16" s="13"/>
    </row>
    <row r="17" ht="42" customHeight="1" spans="1:16">
      <c r="A17" s="10" t="s">
        <v>152</v>
      </c>
      <c r="B17" s="11">
        <v>324</v>
      </c>
      <c r="C17" s="15" t="s">
        <v>155</v>
      </c>
      <c r="D17" s="13"/>
      <c r="E17" s="13">
        <f t="shared" si="7"/>
        <v>324</v>
      </c>
      <c r="F17" s="13">
        <f t="shared" si="1"/>
        <v>0</v>
      </c>
      <c r="G17" s="13">
        <f t="shared" si="8"/>
        <v>0</v>
      </c>
      <c r="H17" s="14">
        <f t="shared" si="2"/>
        <v>0</v>
      </c>
      <c r="I17" s="13"/>
      <c r="J17" s="13"/>
      <c r="K17" s="13"/>
      <c r="L17" s="13"/>
      <c r="M17" s="13"/>
      <c r="N17" s="13"/>
      <c r="O17" s="13"/>
      <c r="P17" s="13"/>
    </row>
    <row r="18" ht="42" customHeight="1" spans="1:16">
      <c r="A18" s="180" t="s">
        <v>207</v>
      </c>
      <c r="B18" s="11">
        <v>50</v>
      </c>
      <c r="C18" s="15" t="s">
        <v>126</v>
      </c>
      <c r="D18" s="13"/>
      <c r="E18" s="13">
        <f t="shared" si="7"/>
        <v>50</v>
      </c>
      <c r="F18" s="13">
        <f t="shared" si="1"/>
        <v>0</v>
      </c>
      <c r="G18" s="13">
        <f t="shared" si="8"/>
        <v>0</v>
      </c>
      <c r="H18" s="14">
        <f t="shared" si="2"/>
        <v>0</v>
      </c>
      <c r="I18" s="13"/>
      <c r="J18" s="13"/>
      <c r="K18" s="13"/>
      <c r="L18" s="13"/>
      <c r="M18" s="13"/>
      <c r="N18" s="13"/>
      <c r="O18" s="13"/>
      <c r="P18" s="13"/>
    </row>
    <row r="19" ht="42" customHeight="1" spans="1:16">
      <c r="A19" s="185" t="s">
        <v>185</v>
      </c>
      <c r="B19" s="11">
        <f>B20+B21+B22</f>
        <v>4255</v>
      </c>
      <c r="C19" s="15"/>
      <c r="D19" s="13">
        <f>D20+D21+D22</f>
        <v>3279.53</v>
      </c>
      <c r="E19" s="13">
        <f t="shared" si="7"/>
        <v>975.47</v>
      </c>
      <c r="F19" s="13">
        <f t="shared" si="1"/>
        <v>77.0747356051704</v>
      </c>
      <c r="G19" s="13">
        <f t="shared" si="8"/>
        <v>3279.53</v>
      </c>
      <c r="H19" s="14">
        <f t="shared" si="2"/>
        <v>2855</v>
      </c>
      <c r="I19" s="13">
        <f t="shared" ref="I19:P19" si="9">I20+I21+I22</f>
        <v>0</v>
      </c>
      <c r="J19" s="13">
        <f t="shared" si="9"/>
        <v>2855</v>
      </c>
      <c r="K19" s="13">
        <f t="shared" si="9"/>
        <v>0</v>
      </c>
      <c r="L19" s="13">
        <f t="shared" si="9"/>
        <v>0</v>
      </c>
      <c r="M19" s="13">
        <f t="shared" si="9"/>
        <v>0</v>
      </c>
      <c r="N19" s="13">
        <f t="shared" si="9"/>
        <v>0</v>
      </c>
      <c r="O19" s="13">
        <f t="shared" si="9"/>
        <v>424.53</v>
      </c>
      <c r="P19" s="13">
        <f t="shared" si="9"/>
        <v>0</v>
      </c>
    </row>
    <row r="20" ht="42" customHeight="1" spans="1:16">
      <c r="A20" s="10" t="s">
        <v>148</v>
      </c>
      <c r="B20" s="11">
        <v>1329</v>
      </c>
      <c r="C20" s="15" t="s">
        <v>174</v>
      </c>
      <c r="D20" s="13">
        <v>424.53</v>
      </c>
      <c r="E20" s="13">
        <f t="shared" si="7"/>
        <v>904.47</v>
      </c>
      <c r="F20" s="13">
        <f t="shared" si="1"/>
        <v>31.9435665914221</v>
      </c>
      <c r="G20" s="13">
        <f t="shared" si="8"/>
        <v>424.53</v>
      </c>
      <c r="H20" s="14">
        <f t="shared" si="2"/>
        <v>0</v>
      </c>
      <c r="I20" s="13"/>
      <c r="J20" s="13"/>
      <c r="K20" s="13"/>
      <c r="L20" s="13"/>
      <c r="M20" s="13"/>
      <c r="N20" s="13"/>
      <c r="O20" s="13">
        <v>424.53</v>
      </c>
      <c r="P20" s="13"/>
    </row>
    <row r="21" ht="42" customHeight="1" spans="1:16">
      <c r="A21" s="10" t="s">
        <v>150</v>
      </c>
      <c r="B21" s="11">
        <v>2855</v>
      </c>
      <c r="C21" s="15" t="s">
        <v>175</v>
      </c>
      <c r="D21" s="13">
        <v>2855</v>
      </c>
      <c r="E21" s="13">
        <f t="shared" si="7"/>
        <v>0</v>
      </c>
      <c r="F21" s="13">
        <f t="shared" si="1"/>
        <v>100</v>
      </c>
      <c r="G21" s="13">
        <f t="shared" si="8"/>
        <v>2855</v>
      </c>
      <c r="H21" s="14">
        <f t="shared" si="2"/>
        <v>2855</v>
      </c>
      <c r="I21" s="13"/>
      <c r="J21" s="13">
        <v>2855</v>
      </c>
      <c r="K21" s="13"/>
      <c r="L21" s="13"/>
      <c r="M21" s="13"/>
      <c r="N21" s="13"/>
      <c r="O21" s="13"/>
      <c r="P21" s="13"/>
    </row>
    <row r="22" ht="42" customHeight="1" spans="1:16">
      <c r="A22" s="10" t="s">
        <v>152</v>
      </c>
      <c r="B22" s="11">
        <v>71</v>
      </c>
      <c r="C22" s="15" t="s">
        <v>155</v>
      </c>
      <c r="D22" s="13"/>
      <c r="E22" s="13">
        <f t="shared" si="7"/>
        <v>71</v>
      </c>
      <c r="F22" s="13">
        <f t="shared" si="1"/>
        <v>0</v>
      </c>
      <c r="G22" s="13">
        <f t="shared" si="8"/>
        <v>0</v>
      </c>
      <c r="H22" s="14">
        <f t="shared" si="2"/>
        <v>0</v>
      </c>
      <c r="I22" s="13"/>
      <c r="J22" s="13"/>
      <c r="K22" s="13"/>
      <c r="L22" s="13"/>
      <c r="M22" s="13"/>
      <c r="N22" s="13"/>
      <c r="O22" s="13"/>
      <c r="P22" s="13"/>
    </row>
    <row r="23" ht="42" customHeight="1" spans="1:16">
      <c r="A23" s="188" t="s">
        <v>186</v>
      </c>
      <c r="B23" s="11">
        <f t="shared" ref="B23:G23" si="10">SUM(B24:B28)</f>
        <v>2857.5</v>
      </c>
      <c r="C23" s="189"/>
      <c r="D23" s="13">
        <f t="shared" si="10"/>
        <v>2837.5</v>
      </c>
      <c r="E23" s="13">
        <f t="shared" si="10"/>
        <v>20</v>
      </c>
      <c r="F23" s="13">
        <f t="shared" si="1"/>
        <v>99.3000874890639</v>
      </c>
      <c r="G23" s="13">
        <f t="shared" si="10"/>
        <v>2837.5</v>
      </c>
      <c r="H23" s="14">
        <f t="shared" si="2"/>
        <v>2837.5</v>
      </c>
      <c r="I23" s="13">
        <f t="shared" ref="I23:P23" si="11">SUM(I24:I28)</f>
        <v>0</v>
      </c>
      <c r="J23" s="13">
        <f t="shared" si="11"/>
        <v>979</v>
      </c>
      <c r="K23" s="13">
        <f t="shared" si="11"/>
        <v>1338.5</v>
      </c>
      <c r="L23" s="13">
        <f t="shared" si="11"/>
        <v>0</v>
      </c>
      <c r="M23" s="13">
        <f t="shared" si="11"/>
        <v>520</v>
      </c>
      <c r="N23" s="13">
        <f t="shared" si="11"/>
        <v>0</v>
      </c>
      <c r="O23" s="13">
        <f t="shared" si="11"/>
        <v>0</v>
      </c>
      <c r="P23" s="13">
        <f t="shared" si="11"/>
        <v>0</v>
      </c>
    </row>
    <row r="24" ht="42" customHeight="1" spans="1:16">
      <c r="A24" s="10" t="s">
        <v>33</v>
      </c>
      <c r="B24" s="11">
        <v>204</v>
      </c>
      <c r="C24" s="15" t="s">
        <v>143</v>
      </c>
      <c r="D24" s="13">
        <v>204</v>
      </c>
      <c r="E24" s="13">
        <f t="shared" ref="E24:E28" si="12">B24-D24</f>
        <v>0</v>
      </c>
      <c r="F24" s="13">
        <f t="shared" si="1"/>
        <v>100</v>
      </c>
      <c r="G24" s="14">
        <f t="shared" ref="G24:G28" si="13">H24+O24+P24</f>
        <v>204</v>
      </c>
      <c r="H24" s="14">
        <f t="shared" si="2"/>
        <v>204</v>
      </c>
      <c r="I24" s="13"/>
      <c r="J24" s="13">
        <v>204</v>
      </c>
      <c r="K24" s="13"/>
      <c r="L24" s="13"/>
      <c r="M24" s="13"/>
      <c r="N24" s="13"/>
      <c r="O24" s="13"/>
      <c r="P24" s="13"/>
    </row>
    <row r="25" ht="42" customHeight="1" spans="1:16">
      <c r="A25" s="10" t="s">
        <v>150</v>
      </c>
      <c r="B25" s="11">
        <v>775</v>
      </c>
      <c r="C25" s="15" t="s">
        <v>143</v>
      </c>
      <c r="D25" s="13">
        <v>775</v>
      </c>
      <c r="E25" s="13">
        <f t="shared" si="12"/>
        <v>0</v>
      </c>
      <c r="F25" s="13">
        <f t="shared" si="1"/>
        <v>100</v>
      </c>
      <c r="G25" s="14">
        <f t="shared" si="13"/>
        <v>775</v>
      </c>
      <c r="H25" s="14">
        <f t="shared" si="2"/>
        <v>775</v>
      </c>
      <c r="I25" s="13"/>
      <c r="J25" s="13">
        <v>775</v>
      </c>
      <c r="K25" s="13"/>
      <c r="L25" s="13"/>
      <c r="M25" s="13"/>
      <c r="N25" s="13"/>
      <c r="O25" s="13"/>
      <c r="P25" s="13"/>
    </row>
    <row r="26" ht="42" customHeight="1" spans="1:16">
      <c r="A26" s="10" t="s">
        <v>37</v>
      </c>
      <c r="B26" s="11">
        <v>520</v>
      </c>
      <c r="C26" s="15" t="s">
        <v>163</v>
      </c>
      <c r="D26" s="13">
        <v>520</v>
      </c>
      <c r="E26" s="13">
        <f t="shared" si="12"/>
        <v>0</v>
      </c>
      <c r="F26" s="13">
        <f t="shared" si="1"/>
        <v>100</v>
      </c>
      <c r="G26" s="14">
        <f t="shared" si="13"/>
        <v>520</v>
      </c>
      <c r="H26" s="14">
        <f t="shared" si="2"/>
        <v>520</v>
      </c>
      <c r="I26" s="13"/>
      <c r="J26" s="13"/>
      <c r="K26" s="13"/>
      <c r="L26" s="13"/>
      <c r="M26" s="13">
        <v>520</v>
      </c>
      <c r="N26" s="13"/>
      <c r="O26" s="13"/>
      <c r="P26" s="13"/>
    </row>
    <row r="27" ht="42" customHeight="1" spans="1:16">
      <c r="A27" s="10" t="s">
        <v>150</v>
      </c>
      <c r="B27" s="11">
        <v>1338.5</v>
      </c>
      <c r="C27" s="15" t="s">
        <v>164</v>
      </c>
      <c r="D27" s="13">
        <v>1338.5</v>
      </c>
      <c r="E27" s="13">
        <f t="shared" si="12"/>
        <v>0</v>
      </c>
      <c r="F27" s="13">
        <f t="shared" si="1"/>
        <v>100</v>
      </c>
      <c r="G27" s="14">
        <f t="shared" si="13"/>
        <v>1338.5</v>
      </c>
      <c r="H27" s="14">
        <f t="shared" si="2"/>
        <v>1338.5</v>
      </c>
      <c r="I27" s="13"/>
      <c r="J27" s="13"/>
      <c r="K27" s="13">
        <v>1338.5</v>
      </c>
      <c r="L27" s="13"/>
      <c r="M27" s="13"/>
      <c r="N27" s="13"/>
      <c r="O27" s="13"/>
      <c r="P27" s="13"/>
    </row>
    <row r="28" ht="42" customHeight="1" spans="1:16">
      <c r="A28" s="10" t="s">
        <v>150</v>
      </c>
      <c r="B28" s="11">
        <v>20</v>
      </c>
      <c r="C28" s="15" t="s">
        <v>187</v>
      </c>
      <c r="D28" s="13"/>
      <c r="E28" s="13">
        <f t="shared" si="12"/>
        <v>20</v>
      </c>
      <c r="F28" s="13">
        <f t="shared" si="1"/>
        <v>0</v>
      </c>
      <c r="G28" s="14">
        <f t="shared" si="13"/>
        <v>0</v>
      </c>
      <c r="H28" s="14">
        <f t="shared" si="2"/>
        <v>0</v>
      </c>
      <c r="I28" s="13"/>
      <c r="J28" s="13"/>
      <c r="K28" s="13"/>
      <c r="L28" s="13"/>
      <c r="M28" s="13"/>
      <c r="N28" s="13"/>
      <c r="O28" s="13"/>
      <c r="P28" s="85"/>
    </row>
    <row r="29" ht="42" customHeight="1" spans="1:16">
      <c r="A29" s="185" t="s">
        <v>188</v>
      </c>
      <c r="B29" s="11">
        <f t="shared" ref="B29:G29" si="14">B30+B31+B32+B33</f>
        <v>3000</v>
      </c>
      <c r="C29" s="15"/>
      <c r="D29" s="13">
        <f t="shared" si="14"/>
        <v>1515.63</v>
      </c>
      <c r="E29" s="13">
        <f t="shared" si="14"/>
        <v>1484.37</v>
      </c>
      <c r="F29" s="13">
        <f t="shared" si="1"/>
        <v>50.521</v>
      </c>
      <c r="G29" s="13">
        <f t="shared" si="14"/>
        <v>1515.63</v>
      </c>
      <c r="H29" s="14">
        <f t="shared" si="2"/>
        <v>15</v>
      </c>
      <c r="I29" s="13">
        <f t="shared" ref="I29:O29" si="15">I30+I31+I32+I33</f>
        <v>15</v>
      </c>
      <c r="J29" s="13">
        <f t="shared" si="15"/>
        <v>0</v>
      </c>
      <c r="K29" s="13">
        <f t="shared" si="15"/>
        <v>0</v>
      </c>
      <c r="L29" s="13">
        <f t="shared" si="15"/>
        <v>0</v>
      </c>
      <c r="M29" s="13">
        <f t="shared" si="15"/>
        <v>0</v>
      </c>
      <c r="N29" s="13">
        <f t="shared" si="15"/>
        <v>0</v>
      </c>
      <c r="O29" s="13">
        <f t="shared" si="15"/>
        <v>1500.63</v>
      </c>
      <c r="P29" s="13"/>
    </row>
    <row r="30" ht="42" customHeight="1" spans="1:16">
      <c r="A30" s="10" t="s">
        <v>150</v>
      </c>
      <c r="B30" s="11">
        <v>20</v>
      </c>
      <c r="C30" s="15" t="s">
        <v>176</v>
      </c>
      <c r="D30" s="13">
        <v>15</v>
      </c>
      <c r="E30" s="13">
        <f t="shared" ref="E30:E33" si="16">B30-D30</f>
        <v>5</v>
      </c>
      <c r="F30" s="13">
        <f t="shared" si="1"/>
        <v>75</v>
      </c>
      <c r="G30" s="14">
        <f t="shared" ref="G30:G33" si="17">H30+O30+P30</f>
        <v>15</v>
      </c>
      <c r="H30" s="14">
        <f t="shared" si="2"/>
        <v>15</v>
      </c>
      <c r="I30" s="13">
        <v>15</v>
      </c>
      <c r="J30" s="13"/>
      <c r="K30" s="13"/>
      <c r="L30" s="13"/>
      <c r="M30" s="13"/>
      <c r="N30" s="13"/>
      <c r="O30" s="13"/>
      <c r="P30" s="13"/>
    </row>
    <row r="31" ht="42" customHeight="1" spans="1:16">
      <c r="A31" s="10" t="s">
        <v>35</v>
      </c>
      <c r="B31" s="11">
        <v>1000</v>
      </c>
      <c r="C31" s="15" t="s">
        <v>177</v>
      </c>
      <c r="D31" s="13"/>
      <c r="E31" s="13">
        <f t="shared" si="16"/>
        <v>1000</v>
      </c>
      <c r="F31" s="13">
        <f t="shared" si="1"/>
        <v>0</v>
      </c>
      <c r="G31" s="14">
        <f t="shared" si="17"/>
        <v>0</v>
      </c>
      <c r="H31" s="14">
        <f t="shared" si="2"/>
        <v>0</v>
      </c>
      <c r="I31" s="13"/>
      <c r="J31" s="13"/>
      <c r="K31" s="13"/>
      <c r="L31" s="13"/>
      <c r="M31" s="13"/>
      <c r="N31" s="13"/>
      <c r="O31" s="13"/>
      <c r="P31" s="13"/>
    </row>
    <row r="32" ht="42" customHeight="1" spans="1:16">
      <c r="A32" s="10" t="s">
        <v>148</v>
      </c>
      <c r="B32" s="11">
        <v>1680</v>
      </c>
      <c r="C32" s="15" t="s">
        <v>174</v>
      </c>
      <c r="D32" s="13">
        <v>1500.63</v>
      </c>
      <c r="E32" s="13">
        <f t="shared" si="16"/>
        <v>179.37</v>
      </c>
      <c r="F32" s="13">
        <f t="shared" si="1"/>
        <v>89.3232142857143</v>
      </c>
      <c r="G32" s="14">
        <f t="shared" si="17"/>
        <v>1500.63</v>
      </c>
      <c r="H32" s="14">
        <f t="shared" si="2"/>
        <v>0</v>
      </c>
      <c r="I32" s="13"/>
      <c r="J32" s="13"/>
      <c r="K32" s="13"/>
      <c r="L32" s="13"/>
      <c r="M32" s="13"/>
      <c r="N32" s="13"/>
      <c r="O32" s="13">
        <v>1500.63</v>
      </c>
      <c r="P32" s="13"/>
    </row>
    <row r="33" ht="42" customHeight="1" spans="1:16">
      <c r="A33" s="10" t="s">
        <v>36</v>
      </c>
      <c r="B33" s="11">
        <v>300</v>
      </c>
      <c r="C33" s="15" t="s">
        <v>178</v>
      </c>
      <c r="D33" s="13"/>
      <c r="E33" s="13">
        <f t="shared" si="16"/>
        <v>300</v>
      </c>
      <c r="F33" s="13">
        <f t="shared" si="1"/>
        <v>0</v>
      </c>
      <c r="G33" s="14">
        <f t="shared" si="17"/>
        <v>0</v>
      </c>
      <c r="H33" s="14">
        <f t="shared" si="2"/>
        <v>0</v>
      </c>
      <c r="I33" s="13"/>
      <c r="J33" s="13"/>
      <c r="K33" s="13"/>
      <c r="L33" s="13"/>
      <c r="M33" s="13"/>
      <c r="N33" s="13"/>
      <c r="O33" s="13"/>
      <c r="P33" s="13"/>
    </row>
    <row r="34" ht="42" customHeight="1" spans="1:16">
      <c r="A34" s="205" t="s">
        <v>102</v>
      </c>
      <c r="B34" s="11">
        <f t="shared" ref="B34:G34" si="18">B35+B41</f>
        <v>3000</v>
      </c>
      <c r="C34" s="11">
        <f t="shared" si="18"/>
        <v>0</v>
      </c>
      <c r="D34" s="11">
        <f t="shared" si="18"/>
        <v>1727.64</v>
      </c>
      <c r="E34" s="11">
        <f t="shared" si="18"/>
        <v>1272.36</v>
      </c>
      <c r="F34" s="13">
        <f t="shared" si="1"/>
        <v>57.588</v>
      </c>
      <c r="G34" s="11">
        <f t="shared" si="18"/>
        <v>1727.64</v>
      </c>
      <c r="H34" s="14">
        <f t="shared" si="2"/>
        <v>1567.64</v>
      </c>
      <c r="I34" s="11">
        <f t="shared" ref="I34:P34" si="19">I35+I41</f>
        <v>0</v>
      </c>
      <c r="J34" s="11">
        <f t="shared" si="19"/>
        <v>901.6</v>
      </c>
      <c r="K34" s="11">
        <f t="shared" si="19"/>
        <v>365</v>
      </c>
      <c r="L34" s="11">
        <f t="shared" si="19"/>
        <v>271.04</v>
      </c>
      <c r="M34" s="11">
        <f t="shared" si="19"/>
        <v>30</v>
      </c>
      <c r="N34" s="11">
        <f t="shared" si="19"/>
        <v>0</v>
      </c>
      <c r="O34" s="11">
        <f t="shared" si="19"/>
        <v>0</v>
      </c>
      <c r="P34" s="11">
        <f t="shared" si="19"/>
        <v>160</v>
      </c>
    </row>
    <row r="35" ht="42" customHeight="1" spans="1:16">
      <c r="A35" s="180" t="s">
        <v>189</v>
      </c>
      <c r="B35" s="11">
        <f t="shared" ref="B35:G35" si="20">SUM(B36:B40)</f>
        <v>2350</v>
      </c>
      <c r="C35" s="11">
        <f t="shared" si="20"/>
        <v>0</v>
      </c>
      <c r="D35" s="11">
        <f t="shared" si="20"/>
        <v>1567.64</v>
      </c>
      <c r="E35" s="11">
        <f t="shared" si="20"/>
        <v>782.36</v>
      </c>
      <c r="F35" s="13">
        <f t="shared" si="1"/>
        <v>66.708085106383</v>
      </c>
      <c r="G35" s="11">
        <f t="shared" si="20"/>
        <v>1567.64</v>
      </c>
      <c r="H35" s="14">
        <f t="shared" si="2"/>
        <v>1567.64</v>
      </c>
      <c r="I35" s="11">
        <f t="shared" ref="I35:P35" si="21">SUM(I36:I40)</f>
        <v>0</v>
      </c>
      <c r="J35" s="11">
        <f t="shared" si="21"/>
        <v>901.6</v>
      </c>
      <c r="K35" s="11">
        <f t="shared" si="21"/>
        <v>365</v>
      </c>
      <c r="L35" s="11">
        <f t="shared" si="21"/>
        <v>271.04</v>
      </c>
      <c r="M35" s="11">
        <f t="shared" si="21"/>
        <v>30</v>
      </c>
      <c r="N35" s="11">
        <f t="shared" si="21"/>
        <v>0</v>
      </c>
      <c r="O35" s="11">
        <f t="shared" si="21"/>
        <v>0</v>
      </c>
      <c r="P35" s="11">
        <f t="shared" si="21"/>
        <v>0</v>
      </c>
    </row>
    <row r="36" ht="42" customHeight="1" spans="1:16">
      <c r="A36" s="10" t="s">
        <v>150</v>
      </c>
      <c r="B36" s="11">
        <v>1020</v>
      </c>
      <c r="C36" s="12" t="s">
        <v>167</v>
      </c>
      <c r="D36" s="13">
        <v>901.6</v>
      </c>
      <c r="E36" s="13">
        <f t="shared" ref="E36:E46" si="22">B36-D36</f>
        <v>118.4</v>
      </c>
      <c r="F36" s="13">
        <f t="shared" si="1"/>
        <v>88.3921568627451</v>
      </c>
      <c r="G36" s="14">
        <f t="shared" ref="G36:G46" si="23">H36+O36+P36</f>
        <v>901.6</v>
      </c>
      <c r="H36" s="14">
        <f t="shared" si="2"/>
        <v>901.6</v>
      </c>
      <c r="I36" s="13">
        <v>0</v>
      </c>
      <c r="J36" s="13">
        <v>901.6</v>
      </c>
      <c r="K36" s="13"/>
      <c r="L36" s="13"/>
      <c r="M36" s="13"/>
      <c r="N36" s="13"/>
      <c r="O36" s="13"/>
      <c r="P36" s="13"/>
    </row>
    <row r="37" ht="42" customHeight="1" spans="1:16">
      <c r="A37" s="10" t="s">
        <v>37</v>
      </c>
      <c r="B37" s="11">
        <v>100</v>
      </c>
      <c r="C37" s="15" t="s">
        <v>168</v>
      </c>
      <c r="D37" s="13">
        <v>29.06</v>
      </c>
      <c r="E37" s="13">
        <f t="shared" si="22"/>
        <v>70.94</v>
      </c>
      <c r="F37" s="13">
        <f t="shared" si="1"/>
        <v>29.06</v>
      </c>
      <c r="G37" s="14">
        <f t="shared" si="23"/>
        <v>29.06</v>
      </c>
      <c r="H37" s="14">
        <f t="shared" si="2"/>
        <v>29.06</v>
      </c>
      <c r="I37" s="13">
        <v>0</v>
      </c>
      <c r="J37" s="13"/>
      <c r="K37" s="13"/>
      <c r="L37" s="13">
        <v>29.06</v>
      </c>
      <c r="M37" s="13"/>
      <c r="N37" s="13"/>
      <c r="O37" s="13"/>
      <c r="P37" s="13"/>
    </row>
    <row r="38" ht="42" customHeight="1" spans="1:16">
      <c r="A38" s="10" t="s">
        <v>150</v>
      </c>
      <c r="B38" s="11">
        <v>400</v>
      </c>
      <c r="C38" s="12" t="s">
        <v>164</v>
      </c>
      <c r="D38" s="13">
        <v>365</v>
      </c>
      <c r="E38" s="13">
        <f t="shared" si="22"/>
        <v>35</v>
      </c>
      <c r="F38" s="13">
        <f t="shared" si="1"/>
        <v>91.25</v>
      </c>
      <c r="G38" s="14">
        <f t="shared" si="23"/>
        <v>365</v>
      </c>
      <c r="H38" s="14">
        <f t="shared" si="2"/>
        <v>365</v>
      </c>
      <c r="I38" s="13"/>
      <c r="J38" s="13"/>
      <c r="K38" s="13">
        <v>365</v>
      </c>
      <c r="L38" s="13"/>
      <c r="M38" s="13"/>
      <c r="N38" s="13"/>
      <c r="O38" s="13"/>
      <c r="P38" s="13"/>
    </row>
    <row r="39" ht="42" customHeight="1" spans="1:16">
      <c r="A39" s="10" t="s">
        <v>37</v>
      </c>
      <c r="B39" s="11">
        <v>780</v>
      </c>
      <c r="C39" s="15" t="s">
        <v>163</v>
      </c>
      <c r="D39" s="13">
        <v>230</v>
      </c>
      <c r="E39" s="13">
        <f t="shared" si="22"/>
        <v>550</v>
      </c>
      <c r="F39" s="13">
        <f t="shared" si="1"/>
        <v>29.4871794871795</v>
      </c>
      <c r="G39" s="14">
        <f t="shared" si="23"/>
        <v>230</v>
      </c>
      <c r="H39" s="14">
        <f t="shared" si="2"/>
        <v>230</v>
      </c>
      <c r="I39" s="13"/>
      <c r="J39" s="13"/>
      <c r="K39" s="13"/>
      <c r="L39" s="13">
        <v>200</v>
      </c>
      <c r="M39" s="13">
        <v>30</v>
      </c>
      <c r="N39" s="13"/>
      <c r="O39" s="13"/>
      <c r="P39" s="13"/>
    </row>
    <row r="40" ht="42" customHeight="1" spans="1:16">
      <c r="A40" s="10" t="s">
        <v>150</v>
      </c>
      <c r="B40" s="11">
        <v>50</v>
      </c>
      <c r="C40" s="15" t="s">
        <v>169</v>
      </c>
      <c r="D40" s="13">
        <v>41.98</v>
      </c>
      <c r="E40" s="13">
        <f t="shared" si="22"/>
        <v>8.02</v>
      </c>
      <c r="F40" s="13">
        <f t="shared" si="1"/>
        <v>83.96</v>
      </c>
      <c r="G40" s="14">
        <f t="shared" si="23"/>
        <v>41.98</v>
      </c>
      <c r="H40" s="14">
        <f t="shared" si="2"/>
        <v>41.98</v>
      </c>
      <c r="I40" s="13">
        <v>0</v>
      </c>
      <c r="J40" s="13"/>
      <c r="K40" s="13"/>
      <c r="L40" s="13">
        <v>41.98</v>
      </c>
      <c r="M40" s="13"/>
      <c r="N40" s="13"/>
      <c r="O40" s="13"/>
      <c r="P40" s="13"/>
    </row>
    <row r="41" ht="42" customHeight="1" spans="1:20">
      <c r="A41" s="180" t="s">
        <v>190</v>
      </c>
      <c r="B41" s="11">
        <f>SUM(B42:B46)</f>
        <v>650</v>
      </c>
      <c r="C41" s="11">
        <f>SUM(C42:C46)</f>
        <v>0</v>
      </c>
      <c r="D41" s="13">
        <f>SUM(D42:D46)</f>
        <v>160</v>
      </c>
      <c r="E41" s="13">
        <f t="shared" si="22"/>
        <v>490</v>
      </c>
      <c r="F41" s="13">
        <f t="shared" si="1"/>
        <v>24.6153846153846</v>
      </c>
      <c r="G41" s="14">
        <f t="shared" si="23"/>
        <v>160</v>
      </c>
      <c r="H41" s="14">
        <f t="shared" si="2"/>
        <v>0</v>
      </c>
      <c r="I41" s="11">
        <f t="shared" ref="I41:P41" si="24">SUM(I42:I46)</f>
        <v>0</v>
      </c>
      <c r="J41" s="11">
        <f t="shared" si="24"/>
        <v>0</v>
      </c>
      <c r="K41" s="11">
        <f t="shared" si="24"/>
        <v>0</v>
      </c>
      <c r="L41" s="11">
        <f t="shared" si="24"/>
        <v>0</v>
      </c>
      <c r="M41" s="11">
        <f t="shared" si="24"/>
        <v>0</v>
      </c>
      <c r="N41" s="11">
        <f t="shared" si="24"/>
        <v>0</v>
      </c>
      <c r="O41" s="11">
        <f t="shared" si="24"/>
        <v>0</v>
      </c>
      <c r="P41" s="11">
        <f t="shared" si="24"/>
        <v>160</v>
      </c>
      <c r="T41" t="s">
        <v>212</v>
      </c>
    </row>
    <row r="42" ht="42" customHeight="1" spans="1:16">
      <c r="A42" s="10" t="s">
        <v>191</v>
      </c>
      <c r="B42" s="11">
        <v>150</v>
      </c>
      <c r="C42" s="15" t="s">
        <v>192</v>
      </c>
      <c r="D42" s="13"/>
      <c r="E42" s="13">
        <f t="shared" si="22"/>
        <v>150</v>
      </c>
      <c r="F42" s="13">
        <f t="shared" si="1"/>
        <v>0</v>
      </c>
      <c r="G42" s="14">
        <f t="shared" si="23"/>
        <v>0</v>
      </c>
      <c r="H42" s="14">
        <f t="shared" si="2"/>
        <v>0</v>
      </c>
      <c r="I42" s="13"/>
      <c r="J42" s="13"/>
      <c r="K42" s="13"/>
      <c r="L42" s="13"/>
      <c r="M42" s="13"/>
      <c r="N42" s="13"/>
      <c r="O42" s="13"/>
      <c r="P42" s="13"/>
    </row>
    <row r="43" ht="42" customHeight="1" spans="1:16">
      <c r="A43" s="10" t="s">
        <v>150</v>
      </c>
      <c r="B43" s="11">
        <v>140</v>
      </c>
      <c r="C43" s="15" t="s">
        <v>193</v>
      </c>
      <c r="D43" s="13"/>
      <c r="E43" s="13">
        <f t="shared" si="22"/>
        <v>140</v>
      </c>
      <c r="F43" s="13">
        <f t="shared" si="1"/>
        <v>0</v>
      </c>
      <c r="G43" s="14">
        <f t="shared" si="23"/>
        <v>0</v>
      </c>
      <c r="H43" s="14">
        <f t="shared" si="2"/>
        <v>0</v>
      </c>
      <c r="I43" s="13"/>
      <c r="J43" s="13"/>
      <c r="K43" s="13"/>
      <c r="L43" s="13"/>
      <c r="M43" s="13"/>
      <c r="N43" s="13"/>
      <c r="O43" s="13"/>
      <c r="P43" s="13"/>
    </row>
    <row r="44" ht="42" customHeight="1" spans="1:16">
      <c r="A44" s="10" t="s">
        <v>150</v>
      </c>
      <c r="B44" s="11">
        <v>100</v>
      </c>
      <c r="C44" s="15" t="s">
        <v>194</v>
      </c>
      <c r="D44" s="13"/>
      <c r="E44" s="13">
        <f t="shared" si="22"/>
        <v>100</v>
      </c>
      <c r="F44" s="13">
        <f t="shared" si="1"/>
        <v>0</v>
      </c>
      <c r="G44" s="14">
        <f t="shared" si="23"/>
        <v>0</v>
      </c>
      <c r="H44" s="14">
        <f t="shared" si="2"/>
        <v>0</v>
      </c>
      <c r="I44" s="13"/>
      <c r="J44" s="13"/>
      <c r="K44" s="13"/>
      <c r="L44" s="13"/>
      <c r="M44" s="13"/>
      <c r="N44" s="13"/>
      <c r="O44" s="13"/>
      <c r="P44" s="13"/>
    </row>
    <row r="45" ht="42" customHeight="1" spans="1:16">
      <c r="A45" s="10" t="s">
        <v>195</v>
      </c>
      <c r="B45" s="11">
        <v>100</v>
      </c>
      <c r="C45" s="15" t="s">
        <v>196</v>
      </c>
      <c r="D45" s="13"/>
      <c r="E45" s="13">
        <f t="shared" si="22"/>
        <v>100</v>
      </c>
      <c r="F45" s="13">
        <f t="shared" si="1"/>
        <v>0</v>
      </c>
      <c r="G45" s="14">
        <f t="shared" si="23"/>
        <v>0</v>
      </c>
      <c r="H45" s="14">
        <f t="shared" si="2"/>
        <v>0</v>
      </c>
      <c r="I45" s="13"/>
      <c r="J45" s="13"/>
      <c r="K45" s="13"/>
      <c r="L45" s="13"/>
      <c r="M45" s="13"/>
      <c r="N45" s="13"/>
      <c r="O45" s="13"/>
      <c r="P45" s="13"/>
    </row>
    <row r="46" ht="42" customHeight="1" spans="1:16">
      <c r="A46" s="10" t="s">
        <v>197</v>
      </c>
      <c r="B46" s="11">
        <v>160</v>
      </c>
      <c r="C46" s="15" t="s">
        <v>198</v>
      </c>
      <c r="D46" s="13">
        <v>160</v>
      </c>
      <c r="E46" s="13">
        <f t="shared" si="22"/>
        <v>0</v>
      </c>
      <c r="F46" s="13">
        <f t="shared" si="1"/>
        <v>100</v>
      </c>
      <c r="G46" s="14">
        <f t="shared" si="23"/>
        <v>160</v>
      </c>
      <c r="H46" s="14">
        <f t="shared" si="2"/>
        <v>0</v>
      </c>
      <c r="I46" s="13"/>
      <c r="J46" s="13"/>
      <c r="K46" s="13"/>
      <c r="L46" s="13"/>
      <c r="M46" s="13"/>
      <c r="N46" s="13"/>
      <c r="O46" s="13"/>
      <c r="P46" s="13">
        <v>160</v>
      </c>
    </row>
    <row r="47" ht="43" customHeight="1" spans="1:16">
      <c r="A47" s="206" t="s">
        <v>27</v>
      </c>
      <c r="B47" s="177">
        <f t="shared" ref="B47:P47" si="25">B34+B6</f>
        <v>25022.5</v>
      </c>
      <c r="C47" s="177">
        <f t="shared" si="25"/>
        <v>0</v>
      </c>
      <c r="D47" s="178">
        <f t="shared" si="25"/>
        <v>18429.58</v>
      </c>
      <c r="E47" s="178">
        <f t="shared" si="25"/>
        <v>6592.92</v>
      </c>
      <c r="F47" s="178">
        <f t="shared" si="1"/>
        <v>73.6520331701469</v>
      </c>
      <c r="G47" s="178">
        <f t="shared" si="25"/>
        <v>18429.58</v>
      </c>
      <c r="H47" s="178">
        <f t="shared" si="25"/>
        <v>16137.58</v>
      </c>
      <c r="I47" s="178">
        <f t="shared" si="25"/>
        <v>4630.9</v>
      </c>
      <c r="J47" s="178">
        <f t="shared" si="25"/>
        <v>7404.6</v>
      </c>
      <c r="K47" s="178">
        <f t="shared" si="25"/>
        <v>2203.5</v>
      </c>
      <c r="L47" s="178">
        <f t="shared" si="25"/>
        <v>511.64</v>
      </c>
      <c r="M47" s="178">
        <f t="shared" si="25"/>
        <v>550</v>
      </c>
      <c r="N47" s="178">
        <f t="shared" si="25"/>
        <v>836.94</v>
      </c>
      <c r="O47" s="178">
        <f t="shared" si="25"/>
        <v>2093.16</v>
      </c>
      <c r="P47" s="178">
        <f t="shared" si="25"/>
        <v>198.84</v>
      </c>
    </row>
    <row r="48" ht="53" customHeight="1" spans="1:16">
      <c r="A48" s="207" t="s">
        <v>213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</row>
    <row r="49" ht="40" customHeight="1" spans="1:16">
      <c r="A49" s="203" t="s">
        <v>170</v>
      </c>
      <c r="B49" s="208">
        <f t="shared" ref="B49:P49" si="26">SUM(B50:B61)</f>
        <v>25022.5</v>
      </c>
      <c r="C49" s="178"/>
      <c r="D49" s="178">
        <f t="shared" si="26"/>
        <v>18429.58</v>
      </c>
      <c r="E49" s="178">
        <f t="shared" si="26"/>
        <v>6592.92</v>
      </c>
      <c r="F49" s="178">
        <f t="shared" ref="F49:F61" si="27">D49/B49*100</f>
        <v>73.6520331701469</v>
      </c>
      <c r="G49" s="178">
        <f t="shared" si="26"/>
        <v>18429.58</v>
      </c>
      <c r="H49" s="178">
        <f t="shared" si="26"/>
        <v>16137.58</v>
      </c>
      <c r="I49" s="178">
        <f t="shared" si="26"/>
        <v>4630.9</v>
      </c>
      <c r="J49" s="178">
        <f t="shared" si="26"/>
        <v>7404.6</v>
      </c>
      <c r="K49" s="178">
        <f t="shared" si="26"/>
        <v>2203.5</v>
      </c>
      <c r="L49" s="178">
        <f t="shared" si="26"/>
        <v>511.64</v>
      </c>
      <c r="M49" s="178">
        <f t="shared" si="26"/>
        <v>550</v>
      </c>
      <c r="N49" s="178">
        <f t="shared" si="26"/>
        <v>836.94</v>
      </c>
      <c r="O49" s="178">
        <f t="shared" si="26"/>
        <v>2093.16</v>
      </c>
      <c r="P49" s="178">
        <f t="shared" si="26"/>
        <v>198.84</v>
      </c>
    </row>
    <row r="50" ht="40" customHeight="1" spans="1:16">
      <c r="A50" s="10" t="s">
        <v>148</v>
      </c>
      <c r="B50" s="13">
        <f t="shared" ref="B50:P50" si="28">B9+B20+B32</f>
        <v>3177</v>
      </c>
      <c r="C50" s="13"/>
      <c r="D50" s="13">
        <f t="shared" si="28"/>
        <v>2093.16</v>
      </c>
      <c r="E50" s="13">
        <f t="shared" si="28"/>
        <v>1083.84</v>
      </c>
      <c r="F50" s="13">
        <f t="shared" si="27"/>
        <v>65.8847969782814</v>
      </c>
      <c r="G50" s="13">
        <f t="shared" si="28"/>
        <v>2093.16</v>
      </c>
      <c r="H50" s="13">
        <f t="shared" si="28"/>
        <v>0</v>
      </c>
      <c r="I50" s="13">
        <f t="shared" si="28"/>
        <v>0</v>
      </c>
      <c r="J50" s="13">
        <f t="shared" si="28"/>
        <v>0</v>
      </c>
      <c r="K50" s="13">
        <f t="shared" si="28"/>
        <v>0</v>
      </c>
      <c r="L50" s="13">
        <f t="shared" si="28"/>
        <v>0</v>
      </c>
      <c r="M50" s="13">
        <f t="shared" si="28"/>
        <v>0</v>
      </c>
      <c r="N50" s="13">
        <f t="shared" si="28"/>
        <v>0</v>
      </c>
      <c r="O50" s="13">
        <f t="shared" si="28"/>
        <v>2093.16</v>
      </c>
      <c r="P50" s="13">
        <f t="shared" si="28"/>
        <v>0</v>
      </c>
    </row>
    <row r="51" ht="40" customHeight="1" spans="1:16">
      <c r="A51" s="10" t="s">
        <v>150</v>
      </c>
      <c r="B51" s="13">
        <f t="shared" ref="B51:P51" si="29">B10+B16+B21+B28+B30+B43+B44+B25+B27+B36+B38+B40</f>
        <v>11849.5</v>
      </c>
      <c r="C51" s="13"/>
      <c r="D51" s="13">
        <f t="shared" si="29"/>
        <v>11407.98</v>
      </c>
      <c r="E51" s="13">
        <f t="shared" si="29"/>
        <v>441.52</v>
      </c>
      <c r="F51" s="13">
        <f t="shared" si="27"/>
        <v>96.2739356090974</v>
      </c>
      <c r="G51" s="13">
        <f t="shared" si="29"/>
        <v>11407.98</v>
      </c>
      <c r="H51" s="13">
        <f t="shared" si="29"/>
        <v>11407.98</v>
      </c>
      <c r="I51" s="13">
        <f t="shared" si="29"/>
        <v>4630.9</v>
      </c>
      <c r="J51" s="13">
        <f t="shared" si="29"/>
        <v>4531.6</v>
      </c>
      <c r="K51" s="13">
        <f t="shared" si="29"/>
        <v>2203.5</v>
      </c>
      <c r="L51" s="13">
        <f t="shared" si="29"/>
        <v>41.98</v>
      </c>
      <c r="M51" s="13">
        <f t="shared" si="29"/>
        <v>0</v>
      </c>
      <c r="N51" s="13">
        <f t="shared" si="29"/>
        <v>0</v>
      </c>
      <c r="O51" s="13">
        <f t="shared" si="29"/>
        <v>0</v>
      </c>
      <c r="P51" s="13">
        <f t="shared" si="29"/>
        <v>0</v>
      </c>
    </row>
    <row r="52" ht="40" customHeight="1" spans="1:16">
      <c r="A52" s="10" t="s">
        <v>152</v>
      </c>
      <c r="B52" s="13">
        <f t="shared" ref="B52:P52" si="30">B11+B17+B22</f>
        <v>2453</v>
      </c>
      <c r="C52" s="13"/>
      <c r="D52" s="13">
        <f t="shared" si="30"/>
        <v>0</v>
      </c>
      <c r="E52" s="13">
        <f t="shared" si="30"/>
        <v>2453</v>
      </c>
      <c r="F52" s="13">
        <f t="shared" si="27"/>
        <v>0</v>
      </c>
      <c r="G52" s="13">
        <f t="shared" si="30"/>
        <v>0</v>
      </c>
      <c r="H52" s="13">
        <f t="shared" si="30"/>
        <v>0</v>
      </c>
      <c r="I52" s="13">
        <f t="shared" si="30"/>
        <v>0</v>
      </c>
      <c r="J52" s="13">
        <f t="shared" si="30"/>
        <v>0</v>
      </c>
      <c r="K52" s="13">
        <f t="shared" si="30"/>
        <v>0</v>
      </c>
      <c r="L52" s="13">
        <f t="shared" si="30"/>
        <v>0</v>
      </c>
      <c r="M52" s="13">
        <f t="shared" si="30"/>
        <v>0</v>
      </c>
      <c r="N52" s="13">
        <f t="shared" si="30"/>
        <v>0</v>
      </c>
      <c r="O52" s="13">
        <f t="shared" si="30"/>
        <v>0</v>
      </c>
      <c r="P52" s="13">
        <f t="shared" si="30"/>
        <v>0</v>
      </c>
    </row>
    <row r="53" ht="40" customHeight="1" spans="1:16">
      <c r="A53" s="10" t="s">
        <v>154</v>
      </c>
      <c r="B53" s="13">
        <f t="shared" ref="B53:P53" si="31">B12</f>
        <v>567</v>
      </c>
      <c r="C53" s="13"/>
      <c r="D53" s="13">
        <f t="shared" si="31"/>
        <v>567</v>
      </c>
      <c r="E53" s="13">
        <f t="shared" si="31"/>
        <v>0</v>
      </c>
      <c r="F53" s="13">
        <f t="shared" si="27"/>
        <v>100</v>
      </c>
      <c r="G53" s="13">
        <f t="shared" si="31"/>
        <v>567</v>
      </c>
      <c r="H53" s="13">
        <f t="shared" si="31"/>
        <v>567</v>
      </c>
      <c r="I53" s="13">
        <f t="shared" si="31"/>
        <v>0</v>
      </c>
      <c r="J53" s="13">
        <f t="shared" si="31"/>
        <v>0</v>
      </c>
      <c r="K53" s="13">
        <f t="shared" si="31"/>
        <v>0</v>
      </c>
      <c r="L53" s="13">
        <f t="shared" si="31"/>
        <v>0</v>
      </c>
      <c r="M53" s="13">
        <f t="shared" si="31"/>
        <v>0</v>
      </c>
      <c r="N53" s="13">
        <f t="shared" si="31"/>
        <v>567</v>
      </c>
      <c r="O53" s="13">
        <f t="shared" si="31"/>
        <v>0</v>
      </c>
      <c r="P53" s="13">
        <f t="shared" si="31"/>
        <v>0</v>
      </c>
    </row>
    <row r="54" ht="40" customHeight="1" spans="1:16">
      <c r="A54" s="10" t="s">
        <v>36</v>
      </c>
      <c r="B54" s="13">
        <f t="shared" ref="B54:P54" si="32">B13+B33</f>
        <v>856</v>
      </c>
      <c r="C54" s="13"/>
      <c r="D54" s="13">
        <f t="shared" si="32"/>
        <v>358</v>
      </c>
      <c r="E54" s="13">
        <f t="shared" si="32"/>
        <v>498</v>
      </c>
      <c r="F54" s="13">
        <f t="shared" si="27"/>
        <v>41.8224299065421</v>
      </c>
      <c r="G54" s="13">
        <f t="shared" si="32"/>
        <v>358</v>
      </c>
      <c r="H54" s="13">
        <f t="shared" si="32"/>
        <v>319.16</v>
      </c>
      <c r="I54" s="13">
        <f t="shared" si="32"/>
        <v>0</v>
      </c>
      <c r="J54" s="13">
        <f t="shared" si="32"/>
        <v>0</v>
      </c>
      <c r="K54" s="13">
        <f t="shared" si="32"/>
        <v>0</v>
      </c>
      <c r="L54" s="13">
        <f t="shared" si="32"/>
        <v>240.6</v>
      </c>
      <c r="M54" s="13">
        <f t="shared" si="32"/>
        <v>0</v>
      </c>
      <c r="N54" s="13">
        <f t="shared" si="32"/>
        <v>78.56</v>
      </c>
      <c r="O54" s="13">
        <f t="shared" si="32"/>
        <v>0</v>
      </c>
      <c r="P54" s="13">
        <f t="shared" si="32"/>
        <v>38.84</v>
      </c>
    </row>
    <row r="55" ht="40" customHeight="1" spans="1:16">
      <c r="A55" s="10" t="s">
        <v>33</v>
      </c>
      <c r="B55" s="13">
        <f t="shared" ref="B55:P55" si="33">B14+B24</f>
        <v>3260</v>
      </c>
      <c r="C55" s="13"/>
      <c r="D55" s="13">
        <f t="shared" si="33"/>
        <v>3064.38</v>
      </c>
      <c r="E55" s="13">
        <f t="shared" si="33"/>
        <v>195.62</v>
      </c>
      <c r="F55" s="13">
        <f t="shared" si="27"/>
        <v>93.9993865030675</v>
      </c>
      <c r="G55" s="13">
        <f t="shared" si="33"/>
        <v>3064.38</v>
      </c>
      <c r="H55" s="13">
        <f t="shared" si="33"/>
        <v>3064.38</v>
      </c>
      <c r="I55" s="13">
        <f t="shared" si="33"/>
        <v>0</v>
      </c>
      <c r="J55" s="13">
        <f t="shared" si="33"/>
        <v>2873</v>
      </c>
      <c r="K55" s="13">
        <f t="shared" si="33"/>
        <v>0</v>
      </c>
      <c r="L55" s="13">
        <f t="shared" si="33"/>
        <v>0</v>
      </c>
      <c r="M55" s="13">
        <f t="shared" si="33"/>
        <v>0</v>
      </c>
      <c r="N55" s="13">
        <f t="shared" si="33"/>
        <v>191.38</v>
      </c>
      <c r="O55" s="13">
        <f t="shared" si="33"/>
        <v>0</v>
      </c>
      <c r="P55" s="13">
        <f t="shared" si="33"/>
        <v>0</v>
      </c>
    </row>
    <row r="56" ht="40" customHeight="1" spans="1:16">
      <c r="A56" s="10" t="s">
        <v>199</v>
      </c>
      <c r="B56" s="13">
        <f t="shared" ref="B56:P56" si="34">B18</f>
        <v>50</v>
      </c>
      <c r="C56" s="13"/>
      <c r="D56" s="13">
        <f t="shared" si="34"/>
        <v>0</v>
      </c>
      <c r="E56" s="13">
        <f t="shared" si="34"/>
        <v>50</v>
      </c>
      <c r="F56" s="13">
        <f t="shared" si="27"/>
        <v>0</v>
      </c>
      <c r="G56" s="13">
        <f t="shared" si="34"/>
        <v>0</v>
      </c>
      <c r="H56" s="13">
        <f t="shared" si="34"/>
        <v>0</v>
      </c>
      <c r="I56" s="13">
        <f t="shared" si="34"/>
        <v>0</v>
      </c>
      <c r="J56" s="13">
        <f t="shared" si="34"/>
        <v>0</v>
      </c>
      <c r="K56" s="13">
        <f t="shared" si="34"/>
        <v>0</v>
      </c>
      <c r="L56" s="13">
        <f t="shared" si="34"/>
        <v>0</v>
      </c>
      <c r="M56" s="13">
        <f t="shared" si="34"/>
        <v>0</v>
      </c>
      <c r="N56" s="13">
        <f t="shared" si="34"/>
        <v>0</v>
      </c>
      <c r="O56" s="13">
        <f t="shared" si="34"/>
        <v>0</v>
      </c>
      <c r="P56" s="13">
        <f t="shared" si="34"/>
        <v>0</v>
      </c>
    </row>
    <row r="57" ht="40" customHeight="1" spans="1:16">
      <c r="A57" s="10" t="s">
        <v>37</v>
      </c>
      <c r="B57" s="13">
        <f t="shared" ref="B57:P57" si="35">B26+B37+B39</f>
        <v>1400</v>
      </c>
      <c r="C57" s="13"/>
      <c r="D57" s="13">
        <f t="shared" si="35"/>
        <v>779.06</v>
      </c>
      <c r="E57" s="13">
        <f t="shared" si="35"/>
        <v>620.94</v>
      </c>
      <c r="F57" s="13">
        <f t="shared" si="27"/>
        <v>55.6471428571429</v>
      </c>
      <c r="G57" s="13">
        <f t="shared" si="35"/>
        <v>779.06</v>
      </c>
      <c r="H57" s="13">
        <f t="shared" si="35"/>
        <v>779.06</v>
      </c>
      <c r="I57" s="13">
        <f t="shared" si="35"/>
        <v>0</v>
      </c>
      <c r="J57" s="13">
        <f t="shared" si="35"/>
        <v>0</v>
      </c>
      <c r="K57" s="13">
        <f t="shared" si="35"/>
        <v>0</v>
      </c>
      <c r="L57" s="13">
        <f t="shared" si="35"/>
        <v>229.06</v>
      </c>
      <c r="M57" s="13">
        <f t="shared" si="35"/>
        <v>550</v>
      </c>
      <c r="N57" s="13">
        <f t="shared" si="35"/>
        <v>0</v>
      </c>
      <c r="O57" s="13">
        <f t="shared" si="35"/>
        <v>0</v>
      </c>
      <c r="P57" s="13">
        <f t="shared" si="35"/>
        <v>0</v>
      </c>
    </row>
    <row r="58" ht="40" customHeight="1" spans="1:16">
      <c r="A58" s="10" t="s">
        <v>191</v>
      </c>
      <c r="B58" s="13">
        <f t="shared" ref="B58:P58" si="36">B42</f>
        <v>150</v>
      </c>
      <c r="C58" s="13"/>
      <c r="D58" s="13">
        <f t="shared" si="36"/>
        <v>0</v>
      </c>
      <c r="E58" s="13">
        <f t="shared" si="36"/>
        <v>150</v>
      </c>
      <c r="F58" s="13">
        <f t="shared" si="27"/>
        <v>0</v>
      </c>
      <c r="G58" s="13">
        <f t="shared" si="36"/>
        <v>0</v>
      </c>
      <c r="H58" s="13">
        <f t="shared" si="36"/>
        <v>0</v>
      </c>
      <c r="I58" s="13">
        <f t="shared" si="36"/>
        <v>0</v>
      </c>
      <c r="J58" s="13">
        <f t="shared" si="36"/>
        <v>0</v>
      </c>
      <c r="K58" s="13">
        <f t="shared" si="36"/>
        <v>0</v>
      </c>
      <c r="L58" s="13">
        <f t="shared" si="36"/>
        <v>0</v>
      </c>
      <c r="M58" s="13">
        <f t="shared" si="36"/>
        <v>0</v>
      </c>
      <c r="N58" s="13">
        <f t="shared" si="36"/>
        <v>0</v>
      </c>
      <c r="O58" s="13">
        <f t="shared" si="36"/>
        <v>0</v>
      </c>
      <c r="P58" s="13">
        <f t="shared" si="36"/>
        <v>0</v>
      </c>
    </row>
    <row r="59" ht="38" customHeight="1" spans="1:16">
      <c r="A59" s="10" t="s">
        <v>195</v>
      </c>
      <c r="B59" s="13">
        <f t="shared" ref="B59:P59" si="37">B45</f>
        <v>100</v>
      </c>
      <c r="C59" s="13"/>
      <c r="D59" s="13">
        <f t="shared" si="37"/>
        <v>0</v>
      </c>
      <c r="E59" s="13">
        <f t="shared" si="37"/>
        <v>100</v>
      </c>
      <c r="F59" s="13">
        <f t="shared" si="27"/>
        <v>0</v>
      </c>
      <c r="G59" s="13">
        <f t="shared" si="37"/>
        <v>0</v>
      </c>
      <c r="H59" s="13">
        <f t="shared" si="37"/>
        <v>0</v>
      </c>
      <c r="I59" s="13">
        <f t="shared" si="37"/>
        <v>0</v>
      </c>
      <c r="J59" s="13">
        <f t="shared" si="37"/>
        <v>0</v>
      </c>
      <c r="K59" s="13">
        <f t="shared" si="37"/>
        <v>0</v>
      </c>
      <c r="L59" s="13">
        <f t="shared" si="37"/>
        <v>0</v>
      </c>
      <c r="M59" s="13">
        <f t="shared" si="37"/>
        <v>0</v>
      </c>
      <c r="N59" s="13">
        <f t="shared" si="37"/>
        <v>0</v>
      </c>
      <c r="O59" s="13">
        <f t="shared" si="37"/>
        <v>0</v>
      </c>
      <c r="P59" s="13">
        <f t="shared" si="37"/>
        <v>0</v>
      </c>
    </row>
    <row r="60" ht="38" customHeight="1" spans="1:16">
      <c r="A60" s="10" t="s">
        <v>35</v>
      </c>
      <c r="B60" s="13">
        <f t="shared" ref="B60:P60" si="38">B31</f>
        <v>1000</v>
      </c>
      <c r="C60" s="13"/>
      <c r="D60" s="13">
        <f t="shared" si="38"/>
        <v>0</v>
      </c>
      <c r="E60" s="13">
        <f t="shared" si="38"/>
        <v>1000</v>
      </c>
      <c r="F60" s="13">
        <f t="shared" si="27"/>
        <v>0</v>
      </c>
      <c r="G60" s="13">
        <f t="shared" si="38"/>
        <v>0</v>
      </c>
      <c r="H60" s="13">
        <f t="shared" si="38"/>
        <v>0</v>
      </c>
      <c r="I60" s="13">
        <f t="shared" si="38"/>
        <v>0</v>
      </c>
      <c r="J60" s="13">
        <f t="shared" si="38"/>
        <v>0</v>
      </c>
      <c r="K60" s="13">
        <f t="shared" si="38"/>
        <v>0</v>
      </c>
      <c r="L60" s="13">
        <f t="shared" si="38"/>
        <v>0</v>
      </c>
      <c r="M60" s="13">
        <f t="shared" si="38"/>
        <v>0</v>
      </c>
      <c r="N60" s="13">
        <f t="shared" si="38"/>
        <v>0</v>
      </c>
      <c r="O60" s="13">
        <f t="shared" si="38"/>
        <v>0</v>
      </c>
      <c r="P60" s="13">
        <f t="shared" si="38"/>
        <v>0</v>
      </c>
    </row>
    <row r="61" ht="38" customHeight="1" spans="1:16">
      <c r="A61" s="10" t="s">
        <v>197</v>
      </c>
      <c r="B61" s="13">
        <f t="shared" ref="B61:P61" si="39">B46</f>
        <v>160</v>
      </c>
      <c r="C61" s="13"/>
      <c r="D61" s="13">
        <f t="shared" si="39"/>
        <v>160</v>
      </c>
      <c r="E61" s="13">
        <f t="shared" si="39"/>
        <v>0</v>
      </c>
      <c r="F61" s="13">
        <f t="shared" si="27"/>
        <v>100</v>
      </c>
      <c r="G61" s="13">
        <f t="shared" si="39"/>
        <v>160</v>
      </c>
      <c r="H61" s="13">
        <f t="shared" si="39"/>
        <v>0</v>
      </c>
      <c r="I61" s="13">
        <f t="shared" si="39"/>
        <v>0</v>
      </c>
      <c r="J61" s="13">
        <f t="shared" si="39"/>
        <v>0</v>
      </c>
      <c r="K61" s="13">
        <f t="shared" si="39"/>
        <v>0</v>
      </c>
      <c r="L61" s="13">
        <f t="shared" si="39"/>
        <v>0</v>
      </c>
      <c r="M61" s="13">
        <f t="shared" si="39"/>
        <v>0</v>
      </c>
      <c r="N61" s="13">
        <f t="shared" si="39"/>
        <v>0</v>
      </c>
      <c r="O61" s="13">
        <f t="shared" si="39"/>
        <v>0</v>
      </c>
      <c r="P61" s="13">
        <f t="shared" si="39"/>
        <v>160</v>
      </c>
    </row>
  </sheetData>
  <mergeCells count="15">
    <mergeCell ref="A1:P1"/>
    <mergeCell ref="C2:K2"/>
    <mergeCell ref="O2:P2"/>
    <mergeCell ref="G3:P3"/>
    <mergeCell ref="H4:N4"/>
    <mergeCell ref="A48:P48"/>
    <mergeCell ref="A3:A5"/>
    <mergeCell ref="B3:B5"/>
    <mergeCell ref="C3:C5"/>
    <mergeCell ref="D3:D5"/>
    <mergeCell ref="E3:E5"/>
    <mergeCell ref="F3:F5"/>
    <mergeCell ref="G4:G5"/>
    <mergeCell ref="O4:O5"/>
    <mergeCell ref="P4:P5"/>
  </mergeCells>
  <pageMargins left="0.609027777777778" right="0.354166666666667" top="0.393055555555556" bottom="0.196527777777778" header="0.511805555555556" footer="0.511805555555556"/>
  <pageSetup paperSize="9" scale="52" fitToHeight="0" orientation="landscape" horizont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2"/>
  <sheetViews>
    <sheetView showZeros="0" zoomScale="70" zoomScaleNormal="70" workbookViewId="0">
      <pane xSplit="1" ySplit="5" topLeftCell="B78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34.8916666666667" customWidth="1"/>
    <col min="2" max="2" width="13.1833333333333" customWidth="1"/>
    <col min="3" max="3" width="35.5916666666667" customWidth="1"/>
    <col min="4" max="4" width="13.1916666666667" customWidth="1"/>
    <col min="5" max="5" width="14.825" customWidth="1"/>
    <col min="6" max="6" width="10.75" customWidth="1"/>
    <col min="7" max="7" width="13.025" customWidth="1"/>
    <col min="8" max="8" width="13.1916666666667" customWidth="1"/>
    <col min="9" max="9" width="12.25" customWidth="1"/>
    <col min="10" max="10" width="12.9166666666667" customWidth="1"/>
    <col min="11" max="11" width="13.1666666666667" customWidth="1"/>
    <col min="12" max="12" width="10.5916666666667" customWidth="1"/>
    <col min="13" max="13" width="11.25" customWidth="1"/>
    <col min="14" max="14" width="12.5" customWidth="1"/>
    <col min="15" max="15" width="12.15" customWidth="1"/>
    <col min="16" max="16" width="10.75" customWidth="1"/>
  </cols>
  <sheetData>
    <row r="1" ht="38" customHeight="1" spans="1:16">
      <c r="A1" s="1" t="s">
        <v>214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8" customHeight="1" spans="1:16">
      <c r="A2" s="2" t="s">
        <v>118</v>
      </c>
      <c r="B2" s="3"/>
      <c r="C2" s="4">
        <v>43731</v>
      </c>
      <c r="D2" s="4"/>
      <c r="E2" s="4"/>
      <c r="F2" s="4"/>
      <c r="G2" s="4"/>
      <c r="H2" s="4"/>
      <c r="I2" s="4"/>
      <c r="J2" s="4"/>
      <c r="K2" s="4"/>
      <c r="L2" s="16"/>
      <c r="M2" s="16"/>
      <c r="N2" s="16"/>
      <c r="O2" s="17" t="s">
        <v>3</v>
      </c>
      <c r="P2" s="17"/>
    </row>
    <row r="3" ht="23" customHeight="1" spans="1:16">
      <c r="A3" s="5" t="s">
        <v>134</v>
      </c>
      <c r="B3" s="5" t="s">
        <v>135</v>
      </c>
      <c r="C3" s="5" t="s">
        <v>62</v>
      </c>
      <c r="D3" s="6" t="s">
        <v>136</v>
      </c>
      <c r="E3" s="6" t="s">
        <v>137</v>
      </c>
      <c r="F3" s="6" t="s">
        <v>7</v>
      </c>
      <c r="G3" s="5" t="s">
        <v>65</v>
      </c>
      <c r="H3" s="5"/>
      <c r="I3" s="5"/>
      <c r="J3" s="5"/>
      <c r="K3" s="5"/>
      <c r="L3" s="5"/>
      <c r="M3" s="5"/>
      <c r="N3" s="5"/>
      <c r="O3" s="5"/>
      <c r="P3" s="5"/>
    </row>
    <row r="4" ht="23" customHeight="1" spans="1:16">
      <c r="A4" s="5"/>
      <c r="B4" s="5"/>
      <c r="C4" s="5"/>
      <c r="D4" s="6"/>
      <c r="E4" s="6"/>
      <c r="F4" s="6"/>
      <c r="G4" s="5" t="s">
        <v>138</v>
      </c>
      <c r="H4" s="5" t="s">
        <v>139</v>
      </c>
      <c r="I4" s="5"/>
      <c r="J4" s="5"/>
      <c r="K4" s="5"/>
      <c r="L4" s="5"/>
      <c r="M4" s="5"/>
      <c r="N4" s="5"/>
      <c r="O4" s="18" t="s">
        <v>140</v>
      </c>
      <c r="P4" s="5" t="s">
        <v>141</v>
      </c>
    </row>
    <row r="5" ht="23" customHeight="1" spans="1:16">
      <c r="A5" s="5"/>
      <c r="B5" s="5"/>
      <c r="C5" s="5"/>
      <c r="D5" s="6"/>
      <c r="E5" s="6"/>
      <c r="F5" s="6"/>
      <c r="G5" s="5"/>
      <c r="H5" s="5" t="s">
        <v>66</v>
      </c>
      <c r="I5" s="5" t="s">
        <v>142</v>
      </c>
      <c r="J5" s="5" t="s">
        <v>143</v>
      </c>
      <c r="K5" s="5" t="s">
        <v>144</v>
      </c>
      <c r="L5" s="6" t="s">
        <v>69</v>
      </c>
      <c r="M5" s="6" t="s">
        <v>145</v>
      </c>
      <c r="N5" s="5" t="s">
        <v>131</v>
      </c>
      <c r="O5" s="18"/>
      <c r="P5" s="5"/>
    </row>
    <row r="6" ht="42" customHeight="1" spans="1:16">
      <c r="A6" s="182" t="s">
        <v>93</v>
      </c>
      <c r="B6" s="183">
        <f t="shared" ref="B6:G6" si="0">B7+B18+B22+B28</f>
        <v>21972.5</v>
      </c>
      <c r="C6" s="183">
        <f t="shared" si="0"/>
        <v>0</v>
      </c>
      <c r="D6" s="184">
        <f t="shared" si="0"/>
        <v>16176.677149</v>
      </c>
      <c r="E6" s="184">
        <f t="shared" si="0"/>
        <v>5795.822851</v>
      </c>
      <c r="F6" s="184">
        <f t="shared" ref="F6:F17" si="1">D6/B6*100</f>
        <v>73.622378650586</v>
      </c>
      <c r="G6" s="184">
        <f t="shared" si="0"/>
        <v>16176.677149</v>
      </c>
      <c r="H6" s="184">
        <f>SUM(I6:N6)</f>
        <v>14685.62875</v>
      </c>
      <c r="I6" s="184">
        <f t="shared" ref="I6:P6" si="2">SUM(I7,I18,I22,I28)</f>
        <v>4630.9</v>
      </c>
      <c r="J6" s="184">
        <f t="shared" si="2"/>
        <v>6503</v>
      </c>
      <c r="K6" s="184">
        <f t="shared" si="2"/>
        <v>1838.5</v>
      </c>
      <c r="L6" s="184">
        <f t="shared" si="2"/>
        <v>260.6</v>
      </c>
      <c r="M6" s="184">
        <f t="shared" si="2"/>
        <v>520</v>
      </c>
      <c r="N6" s="184">
        <f t="shared" si="2"/>
        <v>932.62875</v>
      </c>
      <c r="O6" s="184">
        <f t="shared" si="2"/>
        <v>1446.582399</v>
      </c>
      <c r="P6" s="184">
        <f t="shared" si="2"/>
        <v>44.466</v>
      </c>
    </row>
    <row r="7" ht="42" customHeight="1" spans="1:16">
      <c r="A7" s="185" t="s">
        <v>180</v>
      </c>
      <c r="B7" s="186">
        <f>B8+B15</f>
        <v>11860</v>
      </c>
      <c r="C7" s="186"/>
      <c r="D7" s="186">
        <f>D8+D15</f>
        <v>9170.59475</v>
      </c>
      <c r="E7" s="186">
        <f>E8+E15</f>
        <v>2689.40525</v>
      </c>
      <c r="F7" s="13">
        <f t="shared" si="1"/>
        <v>77.3237331365936</v>
      </c>
      <c r="G7" s="14">
        <f>SUM(G8,G15)</f>
        <v>9170.59475</v>
      </c>
      <c r="H7" s="14">
        <f t="shared" ref="H7:P7" si="3">SUM(H8,H15)</f>
        <v>8958.12875</v>
      </c>
      <c r="I7" s="14">
        <f t="shared" si="3"/>
        <v>4615.9</v>
      </c>
      <c r="J7" s="14">
        <f t="shared" si="3"/>
        <v>2669</v>
      </c>
      <c r="K7" s="14">
        <f t="shared" si="3"/>
        <v>500</v>
      </c>
      <c r="L7" s="14">
        <f t="shared" si="3"/>
        <v>240.6</v>
      </c>
      <c r="M7" s="14">
        <f t="shared" si="3"/>
        <v>0</v>
      </c>
      <c r="N7" s="14">
        <f t="shared" si="3"/>
        <v>932.62875</v>
      </c>
      <c r="O7" s="14">
        <f t="shared" si="3"/>
        <v>168</v>
      </c>
      <c r="P7" s="14">
        <f t="shared" si="3"/>
        <v>44.466</v>
      </c>
    </row>
    <row r="8" ht="42" customHeight="1" spans="1:16">
      <c r="A8" s="180" t="s">
        <v>181</v>
      </c>
      <c r="B8" s="186">
        <f t="shared" ref="B8:G8" si="4">SUM(B9:B14)</f>
        <v>11036</v>
      </c>
      <c r="C8" s="187"/>
      <c r="D8" s="14">
        <f t="shared" si="4"/>
        <v>8670.59475</v>
      </c>
      <c r="E8" s="14">
        <f t="shared" si="4"/>
        <v>2365.40525</v>
      </c>
      <c r="F8" s="13">
        <f t="shared" si="1"/>
        <v>78.5664620333454</v>
      </c>
      <c r="G8" s="14">
        <f t="shared" si="4"/>
        <v>8670.59475</v>
      </c>
      <c r="H8" s="14">
        <f t="shared" ref="H8:H17" si="5">SUM(I8:N8)</f>
        <v>8458.12875</v>
      </c>
      <c r="I8" s="14">
        <f t="shared" ref="I8:P8" si="6">SUM(I9:I14)</f>
        <v>4615.9</v>
      </c>
      <c r="J8" s="14">
        <f t="shared" si="6"/>
        <v>2669</v>
      </c>
      <c r="K8" s="14">
        <f t="shared" si="6"/>
        <v>0</v>
      </c>
      <c r="L8" s="14">
        <f t="shared" si="6"/>
        <v>240.6</v>
      </c>
      <c r="M8" s="14">
        <f t="shared" si="6"/>
        <v>0</v>
      </c>
      <c r="N8" s="14">
        <f t="shared" si="6"/>
        <v>932.62875</v>
      </c>
      <c r="O8" s="14">
        <f t="shared" si="6"/>
        <v>168</v>
      </c>
      <c r="P8" s="14">
        <f t="shared" si="6"/>
        <v>44.466</v>
      </c>
    </row>
    <row r="9" ht="42" customHeight="1" spans="1:16">
      <c r="A9" s="10" t="s">
        <v>148</v>
      </c>
      <c r="B9" s="11">
        <v>168</v>
      </c>
      <c r="C9" s="15" t="s">
        <v>149</v>
      </c>
      <c r="D9" s="13">
        <v>168</v>
      </c>
      <c r="E9" s="13">
        <f t="shared" ref="E9:E22" si="7">B9-D9</f>
        <v>0</v>
      </c>
      <c r="F9" s="13">
        <f t="shared" si="1"/>
        <v>100</v>
      </c>
      <c r="G9" s="13">
        <f t="shared" ref="G9:G22" si="8">SUM(I9:P9)</f>
        <v>168</v>
      </c>
      <c r="H9" s="14">
        <f t="shared" si="5"/>
        <v>0</v>
      </c>
      <c r="I9" s="13"/>
      <c r="J9" s="13"/>
      <c r="K9" s="13"/>
      <c r="L9" s="196"/>
      <c r="M9" s="196"/>
      <c r="N9" s="196"/>
      <c r="O9" s="13">
        <v>168</v>
      </c>
      <c r="P9" s="13"/>
    </row>
    <row r="10" ht="42" customHeight="1" spans="1:16">
      <c r="A10" s="10" t="s">
        <v>150</v>
      </c>
      <c r="B10" s="11">
        <v>4631</v>
      </c>
      <c r="C10" s="39" t="s">
        <v>151</v>
      </c>
      <c r="D10" s="13">
        <v>4615.9</v>
      </c>
      <c r="E10" s="13">
        <f t="shared" si="7"/>
        <v>15.1000000000004</v>
      </c>
      <c r="F10" s="13">
        <f t="shared" si="1"/>
        <v>99.6739365147916</v>
      </c>
      <c r="G10" s="13">
        <f t="shared" si="8"/>
        <v>4615.9</v>
      </c>
      <c r="H10" s="14">
        <f t="shared" si="5"/>
        <v>4615.9</v>
      </c>
      <c r="I10" s="13">
        <v>4615.9</v>
      </c>
      <c r="J10" s="13"/>
      <c r="K10" s="13"/>
      <c r="L10" s="13"/>
      <c r="M10" s="13"/>
      <c r="N10" s="13"/>
      <c r="O10" s="13"/>
      <c r="P10" s="13"/>
    </row>
    <row r="11" ht="42" customHeight="1" spans="1:16">
      <c r="A11" s="10" t="s">
        <v>152</v>
      </c>
      <c r="B11" s="11">
        <v>2058</v>
      </c>
      <c r="C11" s="15" t="s">
        <v>153</v>
      </c>
      <c r="D11" s="13"/>
      <c r="E11" s="13">
        <f t="shared" si="7"/>
        <v>2058</v>
      </c>
      <c r="F11" s="13">
        <f t="shared" si="1"/>
        <v>0</v>
      </c>
      <c r="G11" s="13">
        <f t="shared" si="8"/>
        <v>0</v>
      </c>
      <c r="H11" s="14">
        <f t="shared" si="5"/>
        <v>0</v>
      </c>
      <c r="I11" s="13"/>
      <c r="J11" s="13"/>
      <c r="K11" s="13"/>
      <c r="L11" s="13"/>
      <c r="M11" s="13"/>
      <c r="N11" s="13"/>
      <c r="O11" s="13"/>
      <c r="P11" s="13"/>
    </row>
    <row r="12" ht="42" customHeight="1" spans="1:16">
      <c r="A12" s="10" t="s">
        <v>154</v>
      </c>
      <c r="B12" s="11">
        <v>567</v>
      </c>
      <c r="C12" s="15" t="s">
        <v>155</v>
      </c>
      <c r="D12" s="13">
        <v>567</v>
      </c>
      <c r="E12" s="13">
        <f t="shared" si="7"/>
        <v>0</v>
      </c>
      <c r="F12" s="13">
        <f t="shared" si="1"/>
        <v>100</v>
      </c>
      <c r="G12" s="13">
        <f t="shared" si="8"/>
        <v>567</v>
      </c>
      <c r="H12" s="14">
        <f t="shared" si="5"/>
        <v>567</v>
      </c>
      <c r="I12" s="196"/>
      <c r="J12" s="13"/>
      <c r="K12" s="13"/>
      <c r="L12" s="13"/>
      <c r="M12" s="13"/>
      <c r="N12" s="13">
        <v>567</v>
      </c>
      <c r="O12" s="13"/>
      <c r="P12" s="13"/>
    </row>
    <row r="13" ht="42" customHeight="1" spans="1:16">
      <c r="A13" s="10" t="s">
        <v>36</v>
      </c>
      <c r="B13" s="11">
        <f>176+380</f>
        <v>556</v>
      </c>
      <c r="C13" s="39" t="s">
        <v>156</v>
      </c>
      <c r="D13" s="13">
        <f>358+5.626</f>
        <v>363.626</v>
      </c>
      <c r="E13" s="13">
        <f t="shared" si="7"/>
        <v>192.374</v>
      </c>
      <c r="F13" s="13">
        <f t="shared" si="1"/>
        <v>65.4003597122302</v>
      </c>
      <c r="G13" s="13">
        <f t="shared" si="8"/>
        <v>363.626</v>
      </c>
      <c r="H13" s="14">
        <f t="shared" si="5"/>
        <v>319.16</v>
      </c>
      <c r="I13" s="13"/>
      <c r="J13" s="13"/>
      <c r="K13" s="13"/>
      <c r="L13" s="13">
        <v>240.6</v>
      </c>
      <c r="M13" s="13"/>
      <c r="N13" s="13">
        <v>78.56</v>
      </c>
      <c r="O13" s="13"/>
      <c r="P13" s="13">
        <f>38.84+5.626</f>
        <v>44.466</v>
      </c>
    </row>
    <row r="14" ht="42" customHeight="1" spans="1:16">
      <c r="A14" s="10" t="s">
        <v>33</v>
      </c>
      <c r="B14" s="11">
        <f>387+2669</f>
        <v>3056</v>
      </c>
      <c r="C14" s="15" t="s">
        <v>157</v>
      </c>
      <c r="D14" s="13">
        <f>2860.38+95.68875</f>
        <v>2956.06875</v>
      </c>
      <c r="E14" s="13">
        <f t="shared" si="7"/>
        <v>99.9312500000001</v>
      </c>
      <c r="F14" s="13">
        <f t="shared" si="1"/>
        <v>96.7299983638743</v>
      </c>
      <c r="G14" s="13">
        <f t="shared" si="8"/>
        <v>2956.06875</v>
      </c>
      <c r="H14" s="14">
        <f t="shared" si="5"/>
        <v>2956.06875</v>
      </c>
      <c r="I14" s="13"/>
      <c r="J14" s="13">
        <v>2669</v>
      </c>
      <c r="K14" s="13"/>
      <c r="L14" s="13"/>
      <c r="M14" s="13"/>
      <c r="N14" s="13">
        <f>191.38+95.68875</f>
        <v>287.06875</v>
      </c>
      <c r="O14" s="13"/>
      <c r="P14" s="13"/>
    </row>
    <row r="15" ht="42" customHeight="1" spans="1:16">
      <c r="A15" s="180" t="s">
        <v>182</v>
      </c>
      <c r="B15" s="11">
        <f>B16+B17</f>
        <v>824</v>
      </c>
      <c r="C15" s="15"/>
      <c r="D15" s="13">
        <v>500</v>
      </c>
      <c r="E15" s="13">
        <f t="shared" si="7"/>
        <v>324</v>
      </c>
      <c r="F15" s="13">
        <f t="shared" si="1"/>
        <v>60.6796116504854</v>
      </c>
      <c r="G15" s="13">
        <f t="shared" si="8"/>
        <v>500</v>
      </c>
      <c r="H15" s="14">
        <f t="shared" si="5"/>
        <v>500</v>
      </c>
      <c r="I15" s="13"/>
      <c r="J15" s="13"/>
      <c r="K15" s="13">
        <v>500</v>
      </c>
      <c r="L15" s="13"/>
      <c r="M15" s="13"/>
      <c r="N15" s="13"/>
      <c r="O15" s="13"/>
      <c r="P15" s="13"/>
    </row>
    <row r="16" ht="42" customHeight="1" spans="1:16">
      <c r="A16" s="10" t="s">
        <v>150</v>
      </c>
      <c r="B16" s="11">
        <v>500</v>
      </c>
      <c r="C16" s="15" t="s">
        <v>164</v>
      </c>
      <c r="D16" s="13">
        <v>500</v>
      </c>
      <c r="E16" s="13">
        <f t="shared" si="7"/>
        <v>0</v>
      </c>
      <c r="F16" s="13">
        <f t="shared" si="1"/>
        <v>100</v>
      </c>
      <c r="G16" s="13">
        <f t="shared" si="8"/>
        <v>500</v>
      </c>
      <c r="H16" s="14">
        <f t="shared" si="5"/>
        <v>500</v>
      </c>
      <c r="I16" s="13"/>
      <c r="J16" s="13"/>
      <c r="K16" s="13">
        <v>500</v>
      </c>
      <c r="L16" s="13"/>
      <c r="M16" s="13"/>
      <c r="N16" s="13"/>
      <c r="O16" s="13"/>
      <c r="P16" s="13"/>
    </row>
    <row r="17" ht="42" customHeight="1" spans="1:16">
      <c r="A17" s="10" t="s">
        <v>152</v>
      </c>
      <c r="B17" s="11">
        <v>324</v>
      </c>
      <c r="C17" s="15" t="s">
        <v>155</v>
      </c>
      <c r="D17" s="13"/>
      <c r="E17" s="13">
        <f t="shared" si="7"/>
        <v>324</v>
      </c>
      <c r="F17" s="13">
        <f t="shared" si="1"/>
        <v>0</v>
      </c>
      <c r="G17" s="13">
        <f t="shared" si="8"/>
        <v>0</v>
      </c>
      <c r="H17" s="14">
        <f t="shared" si="5"/>
        <v>0</v>
      </c>
      <c r="I17" s="13"/>
      <c r="J17" s="13"/>
      <c r="K17" s="13"/>
      <c r="L17" s="13"/>
      <c r="M17" s="13"/>
      <c r="N17" s="13"/>
      <c r="O17" s="13"/>
      <c r="P17" s="13"/>
    </row>
    <row r="18" ht="42" customHeight="1" spans="1:16">
      <c r="A18" s="185" t="s">
        <v>185</v>
      </c>
      <c r="B18" s="11">
        <f>B19+B20+B21</f>
        <v>4255</v>
      </c>
      <c r="C18" s="15"/>
      <c r="D18" s="13">
        <f>D19+D20+D21</f>
        <v>4093.582399</v>
      </c>
      <c r="E18" s="13">
        <f t="shared" si="7"/>
        <v>161.417601</v>
      </c>
      <c r="F18" s="13">
        <f t="shared" ref="F18:F46" si="9">D18/B18*100</f>
        <v>96.2064018566392</v>
      </c>
      <c r="G18" s="13">
        <f t="shared" si="8"/>
        <v>4093.582399</v>
      </c>
      <c r="H18" s="14">
        <f t="shared" ref="H18:H45" si="10">SUM(I18:N18)</f>
        <v>2855</v>
      </c>
      <c r="I18" s="13">
        <f t="shared" ref="I18:P18" si="11">I19+I20+I21</f>
        <v>0</v>
      </c>
      <c r="J18" s="13">
        <f t="shared" si="11"/>
        <v>2855</v>
      </c>
      <c r="K18" s="13">
        <f t="shared" si="11"/>
        <v>0</v>
      </c>
      <c r="L18" s="13">
        <f t="shared" si="11"/>
        <v>0</v>
      </c>
      <c r="M18" s="13">
        <f t="shared" si="11"/>
        <v>0</v>
      </c>
      <c r="N18" s="13">
        <f t="shared" si="11"/>
        <v>0</v>
      </c>
      <c r="O18" s="13">
        <f t="shared" si="11"/>
        <v>1238.582399</v>
      </c>
      <c r="P18" s="13">
        <f t="shared" si="11"/>
        <v>0</v>
      </c>
    </row>
    <row r="19" ht="42" customHeight="1" spans="1:16">
      <c r="A19" s="10" t="s">
        <v>148</v>
      </c>
      <c r="B19" s="11">
        <v>1329</v>
      </c>
      <c r="C19" s="15" t="s">
        <v>174</v>
      </c>
      <c r="D19" s="13">
        <f>424.53+814.052399</f>
        <v>1238.582399</v>
      </c>
      <c r="E19" s="13">
        <f t="shared" si="7"/>
        <v>90.4176010000001</v>
      </c>
      <c r="F19" s="13">
        <f t="shared" si="9"/>
        <v>93.1965687735139</v>
      </c>
      <c r="G19" s="13">
        <f t="shared" si="8"/>
        <v>1238.582399</v>
      </c>
      <c r="H19" s="14">
        <f t="shared" si="10"/>
        <v>0</v>
      </c>
      <c r="I19" s="13"/>
      <c r="J19" s="13"/>
      <c r="K19" s="13"/>
      <c r="L19" s="13"/>
      <c r="M19" s="13"/>
      <c r="N19" s="13"/>
      <c r="O19" s="13">
        <f>424.53+814.052399</f>
        <v>1238.582399</v>
      </c>
      <c r="P19" s="13"/>
    </row>
    <row r="20" ht="42" customHeight="1" spans="1:16">
      <c r="A20" s="10" t="s">
        <v>150</v>
      </c>
      <c r="B20" s="11">
        <v>2855</v>
      </c>
      <c r="C20" s="15" t="s">
        <v>175</v>
      </c>
      <c r="D20" s="13">
        <v>2855</v>
      </c>
      <c r="E20" s="13">
        <f t="shared" si="7"/>
        <v>0</v>
      </c>
      <c r="F20" s="13">
        <f t="shared" si="9"/>
        <v>100</v>
      </c>
      <c r="G20" s="13">
        <f t="shared" si="8"/>
        <v>2855</v>
      </c>
      <c r="H20" s="14">
        <f t="shared" si="10"/>
        <v>2855</v>
      </c>
      <c r="I20" s="13"/>
      <c r="J20" s="13">
        <v>2855</v>
      </c>
      <c r="K20" s="13"/>
      <c r="L20" s="13"/>
      <c r="M20" s="13"/>
      <c r="N20" s="13"/>
      <c r="O20" s="13"/>
      <c r="P20" s="13"/>
    </row>
    <row r="21" ht="42" customHeight="1" spans="1:16">
      <c r="A21" s="10" t="s">
        <v>152</v>
      </c>
      <c r="B21" s="11">
        <v>71</v>
      </c>
      <c r="C21" s="15" t="s">
        <v>155</v>
      </c>
      <c r="D21" s="13"/>
      <c r="E21" s="13">
        <f t="shared" si="7"/>
        <v>71</v>
      </c>
      <c r="F21" s="13">
        <f t="shared" si="9"/>
        <v>0</v>
      </c>
      <c r="G21" s="13">
        <f t="shared" si="8"/>
        <v>0</v>
      </c>
      <c r="H21" s="14">
        <f t="shared" si="10"/>
        <v>0</v>
      </c>
      <c r="I21" s="13"/>
      <c r="J21" s="13"/>
      <c r="K21" s="13"/>
      <c r="L21" s="13"/>
      <c r="M21" s="13"/>
      <c r="N21" s="13"/>
      <c r="O21" s="13"/>
      <c r="P21" s="13"/>
    </row>
    <row r="22" ht="42" customHeight="1" spans="1:16">
      <c r="A22" s="188" t="s">
        <v>186</v>
      </c>
      <c r="B22" s="11">
        <f t="shared" ref="B22:G22" si="12">SUM(B23:B27)</f>
        <v>2857.5</v>
      </c>
      <c r="C22" s="189"/>
      <c r="D22" s="13">
        <f t="shared" si="12"/>
        <v>2857.5</v>
      </c>
      <c r="E22" s="13">
        <f t="shared" si="12"/>
        <v>0</v>
      </c>
      <c r="F22" s="13">
        <f t="shared" si="9"/>
        <v>100</v>
      </c>
      <c r="G22" s="13">
        <f t="shared" si="12"/>
        <v>2857.5</v>
      </c>
      <c r="H22" s="14">
        <f t="shared" si="10"/>
        <v>2857.5</v>
      </c>
      <c r="I22" s="13">
        <f t="shared" ref="I22:P22" si="13">SUM(I23:I27)</f>
        <v>0</v>
      </c>
      <c r="J22" s="13">
        <f t="shared" si="13"/>
        <v>979</v>
      </c>
      <c r="K22" s="13">
        <f t="shared" si="13"/>
        <v>1338.5</v>
      </c>
      <c r="L22" s="13">
        <f t="shared" si="13"/>
        <v>20</v>
      </c>
      <c r="M22" s="13">
        <f t="shared" si="13"/>
        <v>520</v>
      </c>
      <c r="N22" s="13">
        <f t="shared" si="13"/>
        <v>0</v>
      </c>
      <c r="O22" s="13">
        <f t="shared" si="13"/>
        <v>0</v>
      </c>
      <c r="P22" s="13">
        <f t="shared" si="13"/>
        <v>0</v>
      </c>
    </row>
    <row r="23" ht="42" customHeight="1" spans="1:16">
      <c r="A23" s="10" t="s">
        <v>33</v>
      </c>
      <c r="B23" s="11">
        <v>204</v>
      </c>
      <c r="C23" s="15" t="s">
        <v>143</v>
      </c>
      <c r="D23" s="13">
        <v>204</v>
      </c>
      <c r="E23" s="13">
        <f t="shared" ref="E23:E27" si="14">B23-D23</f>
        <v>0</v>
      </c>
      <c r="F23" s="13">
        <f t="shared" si="9"/>
        <v>100</v>
      </c>
      <c r="G23" s="14">
        <f t="shared" ref="G23:G27" si="15">H23+O23+P23</f>
        <v>204</v>
      </c>
      <c r="H23" s="14">
        <f t="shared" si="10"/>
        <v>204</v>
      </c>
      <c r="I23" s="13"/>
      <c r="J23" s="13">
        <v>204</v>
      </c>
      <c r="K23" s="13"/>
      <c r="L23" s="13"/>
      <c r="M23" s="13"/>
      <c r="N23" s="13"/>
      <c r="O23" s="13"/>
      <c r="P23" s="13"/>
    </row>
    <row r="24" ht="42" customHeight="1" spans="1:16">
      <c r="A24" s="10" t="s">
        <v>150</v>
      </c>
      <c r="B24" s="11">
        <v>775</v>
      </c>
      <c r="C24" s="15" t="s">
        <v>143</v>
      </c>
      <c r="D24" s="13">
        <v>775</v>
      </c>
      <c r="E24" s="13">
        <f t="shared" si="14"/>
        <v>0</v>
      </c>
      <c r="F24" s="13">
        <f t="shared" si="9"/>
        <v>100</v>
      </c>
      <c r="G24" s="14">
        <f t="shared" si="15"/>
        <v>775</v>
      </c>
      <c r="H24" s="14">
        <f t="shared" si="10"/>
        <v>775</v>
      </c>
      <c r="I24" s="13"/>
      <c r="J24" s="13">
        <v>775</v>
      </c>
      <c r="K24" s="13"/>
      <c r="L24" s="13"/>
      <c r="M24" s="13"/>
      <c r="N24" s="13"/>
      <c r="O24" s="13"/>
      <c r="P24" s="13"/>
    </row>
    <row r="25" ht="42" customHeight="1" spans="1:16">
      <c r="A25" s="10" t="s">
        <v>37</v>
      </c>
      <c r="B25" s="11">
        <v>520</v>
      </c>
      <c r="C25" s="15" t="s">
        <v>163</v>
      </c>
      <c r="D25" s="13">
        <v>520</v>
      </c>
      <c r="E25" s="13">
        <f t="shared" si="14"/>
        <v>0</v>
      </c>
      <c r="F25" s="13">
        <f t="shared" si="9"/>
        <v>100</v>
      </c>
      <c r="G25" s="14">
        <f t="shared" si="15"/>
        <v>520</v>
      </c>
      <c r="H25" s="14">
        <f t="shared" si="10"/>
        <v>520</v>
      </c>
      <c r="I25" s="13"/>
      <c r="J25" s="13"/>
      <c r="K25" s="13"/>
      <c r="L25" s="13"/>
      <c r="M25" s="13">
        <v>520</v>
      </c>
      <c r="N25" s="13"/>
      <c r="O25" s="13"/>
      <c r="P25" s="13"/>
    </row>
    <row r="26" ht="42" customHeight="1" spans="1:16">
      <c r="A26" s="10" t="s">
        <v>150</v>
      </c>
      <c r="B26" s="11">
        <v>1338.5</v>
      </c>
      <c r="C26" s="15" t="s">
        <v>164</v>
      </c>
      <c r="D26" s="13">
        <v>1338.5</v>
      </c>
      <c r="E26" s="13">
        <f t="shared" si="14"/>
        <v>0</v>
      </c>
      <c r="F26" s="13">
        <f t="shared" si="9"/>
        <v>100</v>
      </c>
      <c r="G26" s="14">
        <f t="shared" si="15"/>
        <v>1338.5</v>
      </c>
      <c r="H26" s="14">
        <f t="shared" si="10"/>
        <v>1338.5</v>
      </c>
      <c r="I26" s="13"/>
      <c r="J26" s="13"/>
      <c r="K26" s="13">
        <v>1338.5</v>
      </c>
      <c r="L26" s="13"/>
      <c r="M26" s="13"/>
      <c r="N26" s="13"/>
      <c r="O26" s="13"/>
      <c r="P26" s="13"/>
    </row>
    <row r="27" ht="42" customHeight="1" spans="1:16">
      <c r="A27" s="10" t="s">
        <v>150</v>
      </c>
      <c r="B27" s="11">
        <v>20</v>
      </c>
      <c r="C27" s="15" t="s">
        <v>187</v>
      </c>
      <c r="D27" s="13">
        <v>20</v>
      </c>
      <c r="E27" s="13">
        <f t="shared" si="14"/>
        <v>0</v>
      </c>
      <c r="F27" s="13">
        <f t="shared" si="9"/>
        <v>100</v>
      </c>
      <c r="G27" s="14">
        <f t="shared" si="15"/>
        <v>20</v>
      </c>
      <c r="H27" s="14">
        <f t="shared" si="10"/>
        <v>20</v>
      </c>
      <c r="I27" s="13"/>
      <c r="J27" s="13"/>
      <c r="K27" s="13"/>
      <c r="L27" s="13">
        <v>20</v>
      </c>
      <c r="M27" s="13"/>
      <c r="N27" s="13"/>
      <c r="O27" s="13"/>
      <c r="P27" s="85"/>
    </row>
    <row r="28" ht="42" customHeight="1" spans="1:16">
      <c r="A28" s="185" t="s">
        <v>188</v>
      </c>
      <c r="B28" s="11">
        <f>B29+B30+B31+B32+B33</f>
        <v>3000</v>
      </c>
      <c r="C28" s="11"/>
      <c r="D28" s="11">
        <f t="shared" ref="C28:P28" si="16">D29+D30+D31+D32+D33</f>
        <v>55</v>
      </c>
      <c r="E28" s="11">
        <f t="shared" si="16"/>
        <v>2945</v>
      </c>
      <c r="F28" s="13">
        <f t="shared" si="9"/>
        <v>1.83333333333333</v>
      </c>
      <c r="G28" s="11">
        <f t="shared" si="16"/>
        <v>55</v>
      </c>
      <c r="H28" s="11">
        <f t="shared" si="16"/>
        <v>15</v>
      </c>
      <c r="I28" s="11">
        <f t="shared" si="16"/>
        <v>15</v>
      </c>
      <c r="J28" s="11">
        <f t="shared" si="16"/>
        <v>0</v>
      </c>
      <c r="K28" s="11">
        <f t="shared" si="16"/>
        <v>0</v>
      </c>
      <c r="L28" s="11">
        <f t="shared" si="16"/>
        <v>0</v>
      </c>
      <c r="M28" s="11">
        <f t="shared" si="16"/>
        <v>0</v>
      </c>
      <c r="N28" s="11">
        <f t="shared" si="16"/>
        <v>0</v>
      </c>
      <c r="O28" s="11">
        <f t="shared" si="16"/>
        <v>40</v>
      </c>
      <c r="P28" s="11">
        <f t="shared" si="16"/>
        <v>0</v>
      </c>
    </row>
    <row r="29" ht="42" customHeight="1" spans="1:16">
      <c r="A29" s="10" t="s">
        <v>150</v>
      </c>
      <c r="B29" s="11">
        <v>20</v>
      </c>
      <c r="C29" s="15" t="s">
        <v>176</v>
      </c>
      <c r="D29" s="13">
        <v>15</v>
      </c>
      <c r="E29" s="13">
        <f t="shared" ref="E29:E33" si="17">B29-D29</f>
        <v>5</v>
      </c>
      <c r="F29" s="13">
        <f t="shared" si="9"/>
        <v>75</v>
      </c>
      <c r="G29" s="14">
        <f t="shared" ref="G29:G32" si="18">H29+O29+P29</f>
        <v>15</v>
      </c>
      <c r="H29" s="14">
        <f t="shared" si="10"/>
        <v>15</v>
      </c>
      <c r="I29" s="13">
        <v>15</v>
      </c>
      <c r="J29" s="13"/>
      <c r="K29" s="13"/>
      <c r="L29" s="13"/>
      <c r="M29" s="13"/>
      <c r="N29" s="13"/>
      <c r="O29" s="13"/>
      <c r="P29" s="13"/>
    </row>
    <row r="30" ht="42" customHeight="1" spans="1:16">
      <c r="A30" s="10" t="s">
        <v>35</v>
      </c>
      <c r="B30" s="11">
        <v>1000</v>
      </c>
      <c r="C30" s="15" t="s">
        <v>177</v>
      </c>
      <c r="D30" s="13"/>
      <c r="E30" s="13">
        <f t="shared" si="17"/>
        <v>1000</v>
      </c>
      <c r="F30" s="13">
        <f t="shared" si="9"/>
        <v>0</v>
      </c>
      <c r="G30" s="14">
        <f t="shared" si="18"/>
        <v>0</v>
      </c>
      <c r="H30" s="14">
        <f t="shared" si="10"/>
        <v>0</v>
      </c>
      <c r="I30" s="13"/>
      <c r="J30" s="13"/>
      <c r="K30" s="13"/>
      <c r="L30" s="13"/>
      <c r="M30" s="13"/>
      <c r="N30" s="13"/>
      <c r="O30" s="13"/>
      <c r="P30" s="13"/>
    </row>
    <row r="31" ht="42" customHeight="1" spans="1:16">
      <c r="A31" s="10" t="s">
        <v>35</v>
      </c>
      <c r="B31" s="11">
        <v>1027.26</v>
      </c>
      <c r="C31" s="15" t="s">
        <v>92</v>
      </c>
      <c r="D31" s="13">
        <v>0</v>
      </c>
      <c r="E31" s="13">
        <f t="shared" si="17"/>
        <v>1027.26</v>
      </c>
      <c r="F31" s="13">
        <f t="shared" si="9"/>
        <v>0</v>
      </c>
      <c r="G31" s="14">
        <f t="shared" si="18"/>
        <v>0</v>
      </c>
      <c r="H31" s="14">
        <f t="shared" si="10"/>
        <v>0</v>
      </c>
      <c r="I31" s="13"/>
      <c r="J31" s="13"/>
      <c r="K31" s="13"/>
      <c r="L31" s="13"/>
      <c r="M31" s="13"/>
      <c r="N31" s="13"/>
      <c r="O31" s="13">
        <v>0</v>
      </c>
      <c r="P31" s="13"/>
    </row>
    <row r="32" ht="42" customHeight="1" spans="1:16">
      <c r="A32" s="10" t="s">
        <v>36</v>
      </c>
      <c r="B32" s="11">
        <v>321.04</v>
      </c>
      <c r="C32" s="15" t="s">
        <v>178</v>
      </c>
      <c r="D32" s="13">
        <v>40</v>
      </c>
      <c r="E32" s="13">
        <f t="shared" si="17"/>
        <v>281.04</v>
      </c>
      <c r="F32" s="13">
        <f t="shared" si="9"/>
        <v>12.4595066035385</v>
      </c>
      <c r="G32" s="14">
        <f t="shared" si="18"/>
        <v>40</v>
      </c>
      <c r="H32" s="14">
        <f t="shared" si="10"/>
        <v>0</v>
      </c>
      <c r="I32" s="13"/>
      <c r="J32" s="13"/>
      <c r="K32" s="13"/>
      <c r="L32" s="13"/>
      <c r="M32" s="13"/>
      <c r="N32" s="13"/>
      <c r="O32" s="13">
        <v>40</v>
      </c>
      <c r="P32" s="13"/>
    </row>
    <row r="33" ht="42" customHeight="1" spans="1:16">
      <c r="A33" s="10" t="s">
        <v>148</v>
      </c>
      <c r="B33" s="11">
        <v>631.7</v>
      </c>
      <c r="C33" s="15" t="s">
        <v>215</v>
      </c>
      <c r="D33" s="13"/>
      <c r="E33" s="13">
        <f t="shared" si="17"/>
        <v>631.7</v>
      </c>
      <c r="F33" s="13"/>
      <c r="G33" s="14"/>
      <c r="H33" s="14"/>
      <c r="I33" s="13"/>
      <c r="J33" s="13"/>
      <c r="K33" s="13"/>
      <c r="L33" s="13"/>
      <c r="M33" s="13"/>
      <c r="N33" s="13"/>
      <c r="O33" s="13"/>
      <c r="P33" s="13"/>
    </row>
    <row r="34" ht="42" customHeight="1" spans="1:16">
      <c r="A34" s="190" t="s">
        <v>102</v>
      </c>
      <c r="B34" s="183">
        <f t="shared" ref="B34:G34" si="19">B35+B41</f>
        <v>3000</v>
      </c>
      <c r="C34" s="183">
        <f t="shared" si="19"/>
        <v>0</v>
      </c>
      <c r="D34" s="183">
        <f t="shared" si="19"/>
        <v>2046.69</v>
      </c>
      <c r="E34" s="183">
        <f t="shared" si="19"/>
        <v>953.31</v>
      </c>
      <c r="F34" s="184">
        <f t="shared" ref="F34:F48" si="20">D34/B34*100</f>
        <v>68.223</v>
      </c>
      <c r="G34" s="183">
        <f t="shared" si="19"/>
        <v>2046.69</v>
      </c>
      <c r="H34" s="184">
        <f t="shared" ref="H34:H46" si="21">SUM(I34:N34)</f>
        <v>1886.69</v>
      </c>
      <c r="I34" s="183">
        <f t="shared" ref="I34:P34" si="22">I35+I41</f>
        <v>0</v>
      </c>
      <c r="J34" s="183">
        <f t="shared" si="22"/>
        <v>910.65</v>
      </c>
      <c r="K34" s="183">
        <f t="shared" si="22"/>
        <v>375</v>
      </c>
      <c r="L34" s="183">
        <f t="shared" si="22"/>
        <v>271.04</v>
      </c>
      <c r="M34" s="183">
        <f t="shared" si="22"/>
        <v>330</v>
      </c>
      <c r="N34" s="183">
        <f t="shared" si="22"/>
        <v>0</v>
      </c>
      <c r="O34" s="183">
        <f t="shared" si="22"/>
        <v>0</v>
      </c>
      <c r="P34" s="183">
        <f t="shared" si="22"/>
        <v>160</v>
      </c>
    </row>
    <row r="35" ht="42" customHeight="1" spans="1:16">
      <c r="A35" s="180" t="s">
        <v>189</v>
      </c>
      <c r="B35" s="11">
        <f t="shared" ref="B35:G35" si="23">SUM(B36:B40)</f>
        <v>2350</v>
      </c>
      <c r="C35" s="11">
        <f t="shared" si="23"/>
        <v>0</v>
      </c>
      <c r="D35" s="11">
        <f t="shared" si="23"/>
        <v>1886.69</v>
      </c>
      <c r="E35" s="11">
        <f t="shared" si="23"/>
        <v>463.31</v>
      </c>
      <c r="F35" s="13">
        <f t="shared" si="20"/>
        <v>80.2846808510638</v>
      </c>
      <c r="G35" s="11">
        <f t="shared" si="23"/>
        <v>1886.69</v>
      </c>
      <c r="H35" s="14">
        <f t="shared" si="21"/>
        <v>1886.69</v>
      </c>
      <c r="I35" s="11">
        <f t="shared" ref="I35:P35" si="24">SUM(I36:I40)</f>
        <v>0</v>
      </c>
      <c r="J35" s="11">
        <f t="shared" si="24"/>
        <v>910.65</v>
      </c>
      <c r="K35" s="11">
        <f t="shared" si="24"/>
        <v>375</v>
      </c>
      <c r="L35" s="11">
        <f t="shared" si="24"/>
        <v>271.04</v>
      </c>
      <c r="M35" s="11">
        <f t="shared" si="24"/>
        <v>330</v>
      </c>
      <c r="N35" s="11">
        <f t="shared" si="24"/>
        <v>0</v>
      </c>
      <c r="O35" s="11">
        <f t="shared" si="24"/>
        <v>0</v>
      </c>
      <c r="P35" s="11">
        <f t="shared" si="24"/>
        <v>0</v>
      </c>
    </row>
    <row r="36" ht="42" customHeight="1" spans="1:16">
      <c r="A36" s="10" t="s">
        <v>150</v>
      </c>
      <c r="B36" s="11">
        <v>1020</v>
      </c>
      <c r="C36" s="12" t="s">
        <v>167</v>
      </c>
      <c r="D36" s="13">
        <f>901.6+9.05</f>
        <v>910.65</v>
      </c>
      <c r="E36" s="13">
        <f t="shared" ref="E36:E46" si="25">B36-D36</f>
        <v>109.35</v>
      </c>
      <c r="F36" s="13">
        <f t="shared" si="20"/>
        <v>89.2794117647059</v>
      </c>
      <c r="G36" s="14">
        <f t="shared" ref="G36:G46" si="26">H36+O36+P36</f>
        <v>910.65</v>
      </c>
      <c r="H36" s="14">
        <f t="shared" si="21"/>
        <v>910.65</v>
      </c>
      <c r="I36" s="13">
        <v>0</v>
      </c>
      <c r="J36" s="13">
        <f>901.6+9.05</f>
        <v>910.65</v>
      </c>
      <c r="K36" s="13"/>
      <c r="L36" s="13"/>
      <c r="M36" s="13"/>
      <c r="N36" s="13"/>
      <c r="O36" s="13"/>
      <c r="P36" s="13"/>
    </row>
    <row r="37" ht="42" customHeight="1" spans="1:16">
      <c r="A37" s="10" t="s">
        <v>37</v>
      </c>
      <c r="B37" s="11">
        <v>100</v>
      </c>
      <c r="C37" s="15" t="s">
        <v>168</v>
      </c>
      <c r="D37" s="13">
        <v>29.06</v>
      </c>
      <c r="E37" s="13">
        <f t="shared" si="25"/>
        <v>70.94</v>
      </c>
      <c r="F37" s="13">
        <f t="shared" si="20"/>
        <v>29.06</v>
      </c>
      <c r="G37" s="14">
        <f t="shared" si="26"/>
        <v>29.06</v>
      </c>
      <c r="H37" s="14">
        <f t="shared" si="21"/>
        <v>29.06</v>
      </c>
      <c r="I37" s="13">
        <v>0</v>
      </c>
      <c r="J37" s="13"/>
      <c r="K37" s="13"/>
      <c r="L37" s="13">
        <v>29.06</v>
      </c>
      <c r="M37" s="13"/>
      <c r="N37" s="13"/>
      <c r="O37" s="13"/>
      <c r="P37" s="13"/>
    </row>
    <row r="38" ht="42" customHeight="1" spans="1:16">
      <c r="A38" s="10" t="s">
        <v>150</v>
      </c>
      <c r="B38" s="11">
        <v>400</v>
      </c>
      <c r="C38" s="12" t="s">
        <v>164</v>
      </c>
      <c r="D38" s="13">
        <f>365+10</f>
        <v>375</v>
      </c>
      <c r="E38" s="13">
        <f t="shared" si="25"/>
        <v>25</v>
      </c>
      <c r="F38" s="13">
        <f t="shared" si="20"/>
        <v>93.75</v>
      </c>
      <c r="G38" s="14">
        <f t="shared" si="26"/>
        <v>375</v>
      </c>
      <c r="H38" s="14">
        <f t="shared" si="21"/>
        <v>375</v>
      </c>
      <c r="I38" s="13"/>
      <c r="J38" s="13"/>
      <c r="K38" s="13">
        <f>365+10</f>
        <v>375</v>
      </c>
      <c r="L38" s="13"/>
      <c r="M38" s="13"/>
      <c r="N38" s="13"/>
      <c r="O38" s="13"/>
      <c r="P38" s="13"/>
    </row>
    <row r="39" ht="42" customHeight="1" spans="1:16">
      <c r="A39" s="10" t="s">
        <v>37</v>
      </c>
      <c r="B39" s="11">
        <v>780</v>
      </c>
      <c r="C39" s="15" t="s">
        <v>163</v>
      </c>
      <c r="D39" s="13">
        <v>530</v>
      </c>
      <c r="E39" s="13">
        <f t="shared" si="25"/>
        <v>250</v>
      </c>
      <c r="F39" s="13">
        <f t="shared" si="20"/>
        <v>67.948717948718</v>
      </c>
      <c r="G39" s="14">
        <f t="shared" si="26"/>
        <v>530</v>
      </c>
      <c r="H39" s="14">
        <f t="shared" si="21"/>
        <v>530</v>
      </c>
      <c r="I39" s="13"/>
      <c r="J39" s="13"/>
      <c r="K39" s="13"/>
      <c r="L39" s="13">
        <v>200</v>
      </c>
      <c r="M39" s="13">
        <v>330</v>
      </c>
      <c r="N39" s="13"/>
      <c r="O39" s="13"/>
      <c r="P39" s="13"/>
    </row>
    <row r="40" ht="42" customHeight="1" spans="1:16">
      <c r="A40" s="10" t="s">
        <v>150</v>
      </c>
      <c r="B40" s="11">
        <v>50</v>
      </c>
      <c r="C40" s="15" t="s">
        <v>169</v>
      </c>
      <c r="D40" s="13">
        <v>41.98</v>
      </c>
      <c r="E40" s="13">
        <f t="shared" si="25"/>
        <v>8.02</v>
      </c>
      <c r="F40" s="13">
        <f t="shared" si="20"/>
        <v>83.96</v>
      </c>
      <c r="G40" s="14">
        <f t="shared" si="26"/>
        <v>41.98</v>
      </c>
      <c r="H40" s="14">
        <f t="shared" si="21"/>
        <v>41.98</v>
      </c>
      <c r="I40" s="13">
        <v>0</v>
      </c>
      <c r="J40" s="13"/>
      <c r="K40" s="13"/>
      <c r="L40" s="13">
        <v>41.98</v>
      </c>
      <c r="M40" s="13"/>
      <c r="N40" s="13"/>
      <c r="O40" s="13"/>
      <c r="P40" s="13"/>
    </row>
    <row r="41" ht="42" customHeight="1" spans="1:16">
      <c r="A41" s="180" t="s">
        <v>190</v>
      </c>
      <c r="B41" s="11">
        <f>SUM(B42:B46)</f>
        <v>650</v>
      </c>
      <c r="C41" s="11">
        <f>SUM(C42:C46)</f>
        <v>0</v>
      </c>
      <c r="D41" s="13">
        <f>SUM(D42:D46)</f>
        <v>160</v>
      </c>
      <c r="E41" s="13">
        <f t="shared" si="25"/>
        <v>490</v>
      </c>
      <c r="F41" s="13">
        <f t="shared" si="20"/>
        <v>24.6153846153846</v>
      </c>
      <c r="G41" s="14">
        <f t="shared" si="26"/>
        <v>160</v>
      </c>
      <c r="H41" s="14">
        <f t="shared" si="21"/>
        <v>0</v>
      </c>
      <c r="I41" s="11">
        <f t="shared" ref="I41:P41" si="27">SUM(I42:I46)</f>
        <v>0</v>
      </c>
      <c r="J41" s="11">
        <f t="shared" si="27"/>
        <v>0</v>
      </c>
      <c r="K41" s="11">
        <f t="shared" si="27"/>
        <v>0</v>
      </c>
      <c r="L41" s="11">
        <f t="shared" si="27"/>
        <v>0</v>
      </c>
      <c r="M41" s="11">
        <f t="shared" si="27"/>
        <v>0</v>
      </c>
      <c r="N41" s="11">
        <f t="shared" si="27"/>
        <v>0</v>
      </c>
      <c r="O41" s="11">
        <f t="shared" si="27"/>
        <v>0</v>
      </c>
      <c r="P41" s="11">
        <f t="shared" si="27"/>
        <v>160</v>
      </c>
    </row>
    <row r="42" ht="42" customHeight="1" spans="1:16">
      <c r="A42" s="10" t="s">
        <v>191</v>
      </c>
      <c r="B42" s="11">
        <v>150</v>
      </c>
      <c r="C42" s="15" t="s">
        <v>192</v>
      </c>
      <c r="D42" s="13"/>
      <c r="E42" s="13">
        <f t="shared" si="25"/>
        <v>150</v>
      </c>
      <c r="F42" s="13">
        <f t="shared" si="20"/>
        <v>0</v>
      </c>
      <c r="G42" s="14">
        <f t="shared" si="26"/>
        <v>0</v>
      </c>
      <c r="H42" s="14">
        <f t="shared" si="21"/>
        <v>0</v>
      </c>
      <c r="I42" s="13"/>
      <c r="J42" s="13"/>
      <c r="K42" s="13"/>
      <c r="L42" s="13"/>
      <c r="M42" s="13"/>
      <c r="N42" s="13"/>
      <c r="O42" s="13"/>
      <c r="P42" s="13"/>
    </row>
    <row r="43" ht="42" customHeight="1" spans="1:16">
      <c r="A43" s="10" t="s">
        <v>150</v>
      </c>
      <c r="B43" s="11">
        <v>140</v>
      </c>
      <c r="C43" s="15" t="s">
        <v>193</v>
      </c>
      <c r="D43" s="13"/>
      <c r="E43" s="13">
        <f t="shared" si="25"/>
        <v>140</v>
      </c>
      <c r="F43" s="13">
        <f t="shared" si="20"/>
        <v>0</v>
      </c>
      <c r="G43" s="14">
        <f t="shared" si="26"/>
        <v>0</v>
      </c>
      <c r="H43" s="14">
        <f t="shared" si="21"/>
        <v>0</v>
      </c>
      <c r="I43" s="13"/>
      <c r="J43" s="13"/>
      <c r="K43" s="13"/>
      <c r="L43" s="13"/>
      <c r="M43" s="13"/>
      <c r="N43" s="13"/>
      <c r="O43" s="13"/>
      <c r="P43" s="13"/>
    </row>
    <row r="44" ht="42" customHeight="1" spans="1:16">
      <c r="A44" s="10" t="s">
        <v>150</v>
      </c>
      <c r="B44" s="11">
        <v>100</v>
      </c>
      <c r="C44" s="15" t="s">
        <v>194</v>
      </c>
      <c r="D44" s="13">
        <v>0</v>
      </c>
      <c r="E44" s="13">
        <f t="shared" si="25"/>
        <v>100</v>
      </c>
      <c r="F44" s="13">
        <f t="shared" si="20"/>
        <v>0</v>
      </c>
      <c r="G44" s="14">
        <f t="shared" si="26"/>
        <v>0</v>
      </c>
      <c r="H44" s="14">
        <f t="shared" si="21"/>
        <v>0</v>
      </c>
      <c r="I44" s="13"/>
      <c r="J44" s="13"/>
      <c r="K44" s="13"/>
      <c r="L44" s="13"/>
      <c r="M44" s="13"/>
      <c r="N44" s="13"/>
      <c r="O44" s="13"/>
      <c r="P44" s="13"/>
    </row>
    <row r="45" ht="42" customHeight="1" spans="1:16">
      <c r="A45" s="10" t="s">
        <v>195</v>
      </c>
      <c r="B45" s="11">
        <v>100</v>
      </c>
      <c r="C45" s="15" t="s">
        <v>196</v>
      </c>
      <c r="D45" s="13"/>
      <c r="E45" s="13">
        <f t="shared" si="25"/>
        <v>100</v>
      </c>
      <c r="F45" s="13">
        <f t="shared" si="20"/>
        <v>0</v>
      </c>
      <c r="G45" s="14">
        <f t="shared" si="26"/>
        <v>0</v>
      </c>
      <c r="H45" s="14">
        <f t="shared" si="21"/>
        <v>0</v>
      </c>
      <c r="I45" s="13"/>
      <c r="J45" s="13"/>
      <c r="K45" s="13"/>
      <c r="L45" s="13"/>
      <c r="M45" s="13"/>
      <c r="N45" s="13"/>
      <c r="O45" s="13"/>
      <c r="P45" s="13"/>
    </row>
    <row r="46" ht="42" customHeight="1" spans="1:16">
      <c r="A46" s="10" t="s">
        <v>197</v>
      </c>
      <c r="B46" s="11">
        <v>160</v>
      </c>
      <c r="C46" s="15" t="s">
        <v>198</v>
      </c>
      <c r="D46" s="13">
        <v>160</v>
      </c>
      <c r="E46" s="13">
        <f t="shared" si="25"/>
        <v>0</v>
      </c>
      <c r="F46" s="13">
        <f t="shared" si="20"/>
        <v>100</v>
      </c>
      <c r="G46" s="14">
        <f t="shared" si="26"/>
        <v>160</v>
      </c>
      <c r="H46" s="14">
        <f t="shared" si="21"/>
        <v>0</v>
      </c>
      <c r="I46" s="13"/>
      <c r="J46" s="13"/>
      <c r="K46" s="13"/>
      <c r="L46" s="13"/>
      <c r="M46" s="13"/>
      <c r="N46" s="13"/>
      <c r="O46" s="13"/>
      <c r="P46" s="13">
        <v>160</v>
      </c>
    </row>
    <row r="47" ht="42" customHeight="1" spans="1:20">
      <c r="A47" s="190" t="s">
        <v>216</v>
      </c>
      <c r="B47" s="191">
        <f>SUM(B48:B60)</f>
        <v>7360</v>
      </c>
      <c r="C47" s="191">
        <f t="shared" ref="C47:P47" si="28">SUM(C48:C60)</f>
        <v>0</v>
      </c>
      <c r="D47" s="191">
        <f t="shared" si="28"/>
        <v>2226.028</v>
      </c>
      <c r="E47" s="191">
        <f t="shared" si="28"/>
        <v>5133.972</v>
      </c>
      <c r="F47" s="192">
        <f t="shared" si="20"/>
        <v>30.2449456521739</v>
      </c>
      <c r="G47" s="191">
        <f t="shared" si="28"/>
        <v>2210.028</v>
      </c>
      <c r="H47" s="191">
        <f t="shared" si="28"/>
        <v>430.13</v>
      </c>
      <c r="I47" s="191">
        <f t="shared" si="28"/>
        <v>203.63</v>
      </c>
      <c r="J47" s="191">
        <f t="shared" si="28"/>
        <v>226.5</v>
      </c>
      <c r="K47" s="191">
        <f t="shared" si="28"/>
        <v>0</v>
      </c>
      <c r="L47" s="191">
        <f t="shared" si="28"/>
        <v>0</v>
      </c>
      <c r="M47" s="191">
        <f t="shared" si="28"/>
        <v>0</v>
      </c>
      <c r="N47" s="191">
        <f t="shared" si="28"/>
        <v>0</v>
      </c>
      <c r="O47" s="191">
        <f t="shared" si="28"/>
        <v>1779.898</v>
      </c>
      <c r="P47" s="191">
        <f t="shared" si="28"/>
        <v>0</v>
      </c>
      <c r="T47" s="197"/>
    </row>
    <row r="48" ht="42" customHeight="1" spans="1:16">
      <c r="A48" s="10" t="s">
        <v>148</v>
      </c>
      <c r="B48" s="11">
        <v>2289.7003</v>
      </c>
      <c r="C48" s="15" t="s">
        <v>217</v>
      </c>
      <c r="D48" s="13">
        <v>1500.63</v>
      </c>
      <c r="E48" s="13">
        <f>B48-D48</f>
        <v>789.0703</v>
      </c>
      <c r="F48" s="13">
        <f t="shared" si="20"/>
        <v>65.538271537109</v>
      </c>
      <c r="G48" s="14">
        <f>H48+O48+P48</f>
        <v>1500.63</v>
      </c>
      <c r="H48" s="14">
        <f>SUM(I48:N48)</f>
        <v>0</v>
      </c>
      <c r="I48" s="13"/>
      <c r="J48" s="13"/>
      <c r="K48" s="13"/>
      <c r="L48" s="13"/>
      <c r="M48" s="13"/>
      <c r="N48" s="13"/>
      <c r="O48" s="13">
        <v>1500.63</v>
      </c>
      <c r="P48" s="13"/>
    </row>
    <row r="49" ht="42" customHeight="1" spans="1:16">
      <c r="A49" s="10" t="s">
        <v>35</v>
      </c>
      <c r="B49" s="11">
        <v>1289.54</v>
      </c>
      <c r="C49" s="15" t="s">
        <v>68</v>
      </c>
      <c r="D49" s="13"/>
      <c r="E49" s="13">
        <f t="shared" ref="E49:E60" si="29">B49-D49</f>
        <v>1289.54</v>
      </c>
      <c r="F49" s="13">
        <f t="shared" ref="F49:F58" si="30">D49/B49*100</f>
        <v>0</v>
      </c>
      <c r="G49" s="14">
        <f>H49+O49+P49</f>
        <v>0</v>
      </c>
      <c r="H49" s="14">
        <f>SUM(I49:N49)</f>
        <v>0</v>
      </c>
      <c r="I49" s="13"/>
      <c r="J49" s="13"/>
      <c r="K49" s="13"/>
      <c r="L49" s="13"/>
      <c r="M49" s="13"/>
      <c r="N49" s="13"/>
      <c r="O49" s="13"/>
      <c r="P49" s="13"/>
    </row>
    <row r="50" ht="42" customHeight="1" spans="1:16">
      <c r="A50" s="10" t="s">
        <v>218</v>
      </c>
      <c r="B50" s="11">
        <v>580</v>
      </c>
      <c r="C50" s="15" t="s">
        <v>219</v>
      </c>
      <c r="D50" s="13">
        <v>230</v>
      </c>
      <c r="E50" s="13">
        <f t="shared" si="29"/>
        <v>350</v>
      </c>
      <c r="F50" s="13">
        <f t="shared" si="30"/>
        <v>39.6551724137931</v>
      </c>
      <c r="G50" s="14">
        <f>H50+O50+P50</f>
        <v>230</v>
      </c>
      <c r="H50" s="14">
        <f>SUM(I50:N50)</f>
        <v>0</v>
      </c>
      <c r="I50" s="13"/>
      <c r="J50" s="13"/>
      <c r="K50" s="13"/>
      <c r="L50" s="13"/>
      <c r="M50" s="13"/>
      <c r="N50" s="13"/>
      <c r="O50" s="13">
        <v>230</v>
      </c>
      <c r="P50" s="13"/>
    </row>
    <row r="51" ht="42" customHeight="1" spans="1:16">
      <c r="A51" s="10" t="s">
        <v>150</v>
      </c>
      <c r="B51" s="11">
        <v>226.5</v>
      </c>
      <c r="C51" s="15" t="s">
        <v>220</v>
      </c>
      <c r="D51" s="13">
        <v>226.5</v>
      </c>
      <c r="E51" s="13">
        <f t="shared" si="29"/>
        <v>0</v>
      </c>
      <c r="F51" s="13">
        <f t="shared" si="30"/>
        <v>100</v>
      </c>
      <c r="G51" s="14">
        <f>H51+O51++P51</f>
        <v>226.5</v>
      </c>
      <c r="H51" s="14">
        <f>SUM(I51:N51)</f>
        <v>226.5</v>
      </c>
      <c r="I51" s="13"/>
      <c r="J51" s="13">
        <v>226.5</v>
      </c>
      <c r="K51" s="13"/>
      <c r="L51" s="13"/>
      <c r="M51" s="13"/>
      <c r="N51" s="13"/>
      <c r="O51" s="13"/>
      <c r="P51" s="13"/>
    </row>
    <row r="52" ht="42" customHeight="1" spans="1:16">
      <c r="A52" s="10" t="s">
        <v>150</v>
      </c>
      <c r="B52" s="11">
        <v>207.9</v>
      </c>
      <c r="C52" s="15" t="s">
        <v>221</v>
      </c>
      <c r="D52" s="13">
        <v>203.63</v>
      </c>
      <c r="E52" s="13">
        <f t="shared" si="29"/>
        <v>4.27000000000001</v>
      </c>
      <c r="F52" s="13">
        <f t="shared" si="30"/>
        <v>97.9461279461279</v>
      </c>
      <c r="G52" s="14">
        <f>H52+O52+P52</f>
        <v>203.63</v>
      </c>
      <c r="H52" s="14">
        <f>SUM(I52:N52)</f>
        <v>203.63</v>
      </c>
      <c r="I52" s="13">
        <v>203.63</v>
      </c>
      <c r="J52" s="13"/>
      <c r="K52" s="13"/>
      <c r="L52" s="13"/>
      <c r="M52" s="13"/>
      <c r="N52" s="13"/>
      <c r="O52" s="13"/>
      <c r="P52" s="13"/>
    </row>
    <row r="53" ht="42" customHeight="1" spans="1:16">
      <c r="A53" s="10" t="s">
        <v>150</v>
      </c>
      <c r="B53" s="11">
        <v>1351.5917</v>
      </c>
      <c r="C53" s="15" t="s">
        <v>222</v>
      </c>
      <c r="D53" s="13"/>
      <c r="E53" s="13">
        <f t="shared" si="29"/>
        <v>1351.5917</v>
      </c>
      <c r="F53" s="13">
        <f t="shared" si="30"/>
        <v>0</v>
      </c>
      <c r="G53" s="14">
        <f t="shared" ref="G53:G67" si="31">H53+O53+P53</f>
        <v>0</v>
      </c>
      <c r="H53" s="14">
        <f t="shared" ref="H53:H67" si="32">SUM(I53:N53)</f>
        <v>0</v>
      </c>
      <c r="I53" s="13"/>
      <c r="J53" s="13"/>
      <c r="K53" s="13"/>
      <c r="L53" s="13"/>
      <c r="M53" s="13"/>
      <c r="N53" s="13"/>
      <c r="O53" s="13"/>
      <c r="P53" s="13"/>
    </row>
    <row r="54" ht="42" customHeight="1" spans="1:16">
      <c r="A54" s="10" t="s">
        <v>150</v>
      </c>
      <c r="B54" s="11">
        <v>240</v>
      </c>
      <c r="C54" s="15" t="s">
        <v>223</v>
      </c>
      <c r="D54" s="13"/>
      <c r="E54" s="13">
        <f t="shared" si="29"/>
        <v>240</v>
      </c>
      <c r="F54" s="13">
        <f t="shared" si="30"/>
        <v>0</v>
      </c>
      <c r="G54" s="14">
        <f t="shared" si="31"/>
        <v>0</v>
      </c>
      <c r="H54" s="14">
        <f t="shared" si="32"/>
        <v>0</v>
      </c>
      <c r="I54" s="13"/>
      <c r="J54" s="13"/>
      <c r="K54" s="13"/>
      <c r="L54" s="13"/>
      <c r="M54" s="13"/>
      <c r="N54" s="13"/>
      <c r="O54" s="13"/>
      <c r="P54" s="13"/>
    </row>
    <row r="55" ht="42" customHeight="1" spans="1:16">
      <c r="A55" s="10" t="s">
        <v>224</v>
      </c>
      <c r="B55" s="11">
        <v>49.268</v>
      </c>
      <c r="C55" s="15" t="s">
        <v>225</v>
      </c>
      <c r="D55" s="13">
        <v>49.268</v>
      </c>
      <c r="E55" s="13">
        <f t="shared" si="29"/>
        <v>0</v>
      </c>
      <c r="F55" s="13">
        <f t="shared" si="30"/>
        <v>100</v>
      </c>
      <c r="G55" s="14">
        <f t="shared" si="31"/>
        <v>49.268</v>
      </c>
      <c r="H55" s="14">
        <f t="shared" si="32"/>
        <v>0</v>
      </c>
      <c r="I55" s="13"/>
      <c r="J55" s="13"/>
      <c r="K55" s="13"/>
      <c r="L55" s="13"/>
      <c r="M55" s="13"/>
      <c r="N55" s="13"/>
      <c r="O55" s="13">
        <v>49.268</v>
      </c>
      <c r="P55" s="13"/>
    </row>
    <row r="56" ht="42" customHeight="1" spans="1:16">
      <c r="A56" s="10" t="s">
        <v>224</v>
      </c>
      <c r="B56" s="11">
        <v>600</v>
      </c>
      <c r="C56" s="15" t="s">
        <v>226</v>
      </c>
      <c r="D56" s="13"/>
      <c r="E56" s="13">
        <f t="shared" si="29"/>
        <v>600</v>
      </c>
      <c r="F56" s="13">
        <f t="shared" ref="F56:F76" si="33">D56/B56*100</f>
        <v>0</v>
      </c>
      <c r="G56" s="14">
        <f t="shared" si="31"/>
        <v>0</v>
      </c>
      <c r="H56" s="14">
        <f t="shared" si="32"/>
        <v>0</v>
      </c>
      <c r="I56" s="13"/>
      <c r="J56" s="13"/>
      <c r="K56" s="13"/>
      <c r="L56" s="13"/>
      <c r="M56" s="13"/>
      <c r="N56" s="13"/>
      <c r="O56" s="13"/>
      <c r="P56" s="13"/>
    </row>
    <row r="57" ht="42" customHeight="1" spans="1:16">
      <c r="A57" s="10" t="s">
        <v>150</v>
      </c>
      <c r="B57" s="11">
        <v>90</v>
      </c>
      <c r="C57" s="15" t="s">
        <v>227</v>
      </c>
      <c r="D57" s="13"/>
      <c r="E57" s="13">
        <f t="shared" si="29"/>
        <v>90</v>
      </c>
      <c r="F57" s="13">
        <f t="shared" si="33"/>
        <v>0</v>
      </c>
      <c r="G57" s="14">
        <f t="shared" si="31"/>
        <v>0</v>
      </c>
      <c r="H57" s="14">
        <f t="shared" si="32"/>
        <v>0</v>
      </c>
      <c r="I57" s="13"/>
      <c r="J57" s="13"/>
      <c r="K57" s="13"/>
      <c r="L57" s="13"/>
      <c r="M57" s="13"/>
      <c r="N57" s="13"/>
      <c r="O57" s="13"/>
      <c r="P57" s="13"/>
    </row>
    <row r="58" ht="42" customHeight="1" spans="1:16">
      <c r="A58" s="10" t="s">
        <v>150</v>
      </c>
      <c r="B58" s="11">
        <v>400</v>
      </c>
      <c r="C58" s="15" t="s">
        <v>228</v>
      </c>
      <c r="D58" s="13"/>
      <c r="E58" s="13">
        <f t="shared" si="29"/>
        <v>400</v>
      </c>
      <c r="F58" s="13">
        <f t="shared" si="33"/>
        <v>0</v>
      </c>
      <c r="G58" s="14">
        <f t="shared" si="31"/>
        <v>0</v>
      </c>
      <c r="H58" s="14">
        <f t="shared" si="32"/>
        <v>0</v>
      </c>
      <c r="I58" s="13"/>
      <c r="J58" s="13"/>
      <c r="K58" s="13"/>
      <c r="L58" s="13"/>
      <c r="M58" s="13"/>
      <c r="N58" s="13"/>
      <c r="O58" s="13"/>
      <c r="P58" s="13"/>
    </row>
    <row r="59" ht="42" customHeight="1" spans="1:16">
      <c r="A59" s="10" t="s">
        <v>150</v>
      </c>
      <c r="B59" s="11">
        <v>16</v>
      </c>
      <c r="C59" s="15" t="s">
        <v>229</v>
      </c>
      <c r="D59" s="13">
        <v>16</v>
      </c>
      <c r="E59" s="13">
        <f t="shared" si="29"/>
        <v>0</v>
      </c>
      <c r="F59" s="13">
        <f t="shared" si="33"/>
        <v>100</v>
      </c>
      <c r="G59" s="14">
        <f t="shared" si="31"/>
        <v>0</v>
      </c>
      <c r="H59" s="14">
        <f t="shared" si="32"/>
        <v>0</v>
      </c>
      <c r="I59" s="13"/>
      <c r="J59" s="13"/>
      <c r="K59" s="13"/>
      <c r="L59" s="13"/>
      <c r="M59" s="13"/>
      <c r="N59" s="13"/>
      <c r="O59" s="13"/>
      <c r="P59" s="13"/>
    </row>
    <row r="60" ht="42" customHeight="1" spans="1:16">
      <c r="A60" s="10" t="s">
        <v>43</v>
      </c>
      <c r="B60" s="11">
        <v>19.5</v>
      </c>
      <c r="C60" s="15" t="s">
        <v>230</v>
      </c>
      <c r="D60" s="13"/>
      <c r="E60" s="13">
        <f t="shared" si="29"/>
        <v>19.5</v>
      </c>
      <c r="F60" s="13">
        <f t="shared" si="33"/>
        <v>0</v>
      </c>
      <c r="G60" s="14">
        <f t="shared" si="31"/>
        <v>0</v>
      </c>
      <c r="H60" s="14">
        <f t="shared" si="32"/>
        <v>0</v>
      </c>
      <c r="I60" s="13"/>
      <c r="J60" s="13"/>
      <c r="K60" s="13"/>
      <c r="L60" s="13"/>
      <c r="M60" s="13"/>
      <c r="N60" s="13"/>
      <c r="O60" s="13"/>
      <c r="P60" s="13"/>
    </row>
    <row r="61" ht="46" customHeight="1" spans="1:16">
      <c r="A61" s="193" t="s">
        <v>231</v>
      </c>
      <c r="B61" s="194">
        <f>SUM(B62:B67)</f>
        <v>700</v>
      </c>
      <c r="C61" s="194">
        <f t="shared" ref="C61:P61" si="34">SUM(C62:C67)</f>
        <v>0</v>
      </c>
      <c r="D61" s="195">
        <f t="shared" si="34"/>
        <v>310</v>
      </c>
      <c r="E61" s="195">
        <f t="shared" si="34"/>
        <v>390</v>
      </c>
      <c r="F61" s="195">
        <f t="shared" si="33"/>
        <v>44.2857142857143</v>
      </c>
      <c r="G61" s="195">
        <f t="shared" si="34"/>
        <v>310</v>
      </c>
      <c r="H61" s="195">
        <f t="shared" si="34"/>
        <v>300</v>
      </c>
      <c r="I61" s="195">
        <f t="shared" si="34"/>
        <v>300</v>
      </c>
      <c r="J61" s="194">
        <f t="shared" si="34"/>
        <v>0</v>
      </c>
      <c r="K61" s="194">
        <f t="shared" si="34"/>
        <v>0</v>
      </c>
      <c r="L61" s="194">
        <f t="shared" si="34"/>
        <v>0</v>
      </c>
      <c r="M61" s="194">
        <f t="shared" si="34"/>
        <v>0</v>
      </c>
      <c r="N61" s="194">
        <f t="shared" si="34"/>
        <v>0</v>
      </c>
      <c r="O61" s="194">
        <f t="shared" si="34"/>
        <v>0</v>
      </c>
      <c r="P61" s="194">
        <f t="shared" si="34"/>
        <v>10</v>
      </c>
    </row>
    <row r="62" ht="42" customHeight="1" spans="1:16">
      <c r="A62" s="10" t="s">
        <v>33</v>
      </c>
      <c r="B62" s="11">
        <v>150</v>
      </c>
      <c r="C62" s="15" t="s">
        <v>232</v>
      </c>
      <c r="D62" s="13"/>
      <c r="E62" s="13">
        <f t="shared" ref="E61:E68" si="35">B62-D62</f>
        <v>150</v>
      </c>
      <c r="F62" s="13">
        <f t="shared" si="33"/>
        <v>0</v>
      </c>
      <c r="G62" s="14">
        <f t="shared" si="31"/>
        <v>0</v>
      </c>
      <c r="H62" s="14">
        <f t="shared" si="32"/>
        <v>0</v>
      </c>
      <c r="I62" s="13"/>
      <c r="J62" s="13"/>
      <c r="K62" s="13"/>
      <c r="L62" s="13"/>
      <c r="M62" s="13"/>
      <c r="N62" s="13"/>
      <c r="O62" s="13"/>
      <c r="P62" s="13"/>
    </row>
    <row r="63" ht="42" customHeight="1" spans="1:16">
      <c r="A63" s="10" t="s">
        <v>37</v>
      </c>
      <c r="B63" s="11">
        <v>30</v>
      </c>
      <c r="C63" s="15" t="s">
        <v>163</v>
      </c>
      <c r="D63" s="13"/>
      <c r="E63" s="13">
        <f t="shared" si="35"/>
        <v>30</v>
      </c>
      <c r="F63" s="13">
        <f t="shared" si="33"/>
        <v>0</v>
      </c>
      <c r="G63" s="14">
        <f t="shared" si="31"/>
        <v>0</v>
      </c>
      <c r="H63" s="14">
        <f t="shared" si="32"/>
        <v>0</v>
      </c>
      <c r="I63" s="13"/>
      <c r="J63" s="13"/>
      <c r="K63" s="13"/>
      <c r="L63" s="13"/>
      <c r="M63" s="13"/>
      <c r="N63" s="13"/>
      <c r="O63" s="13"/>
      <c r="P63" s="13"/>
    </row>
    <row r="64" ht="42" customHeight="1" spans="1:16">
      <c r="A64" s="10" t="s">
        <v>150</v>
      </c>
      <c r="B64" s="11">
        <v>300</v>
      </c>
      <c r="C64" s="15" t="s">
        <v>233</v>
      </c>
      <c r="D64" s="13">
        <v>300</v>
      </c>
      <c r="E64" s="13">
        <f t="shared" si="35"/>
        <v>0</v>
      </c>
      <c r="F64" s="13">
        <f t="shared" si="33"/>
        <v>100</v>
      </c>
      <c r="G64" s="14">
        <f t="shared" si="31"/>
        <v>300</v>
      </c>
      <c r="H64" s="14">
        <f t="shared" si="32"/>
        <v>300</v>
      </c>
      <c r="I64" s="13">
        <v>300</v>
      </c>
      <c r="J64" s="13"/>
      <c r="K64" s="13"/>
      <c r="L64" s="13"/>
      <c r="M64" s="13"/>
      <c r="N64" s="13"/>
      <c r="O64" s="13"/>
      <c r="P64" s="13"/>
    </row>
    <row r="65" ht="42" customHeight="1" spans="1:16">
      <c r="A65" s="10" t="s">
        <v>35</v>
      </c>
      <c r="B65" s="11">
        <v>100</v>
      </c>
      <c r="C65" s="15" t="s">
        <v>234</v>
      </c>
      <c r="D65" s="13"/>
      <c r="E65" s="13">
        <f t="shared" si="35"/>
        <v>100</v>
      </c>
      <c r="F65" s="13">
        <f t="shared" si="33"/>
        <v>0</v>
      </c>
      <c r="G65" s="14">
        <f t="shared" si="31"/>
        <v>0</v>
      </c>
      <c r="H65" s="14">
        <f t="shared" si="32"/>
        <v>0</v>
      </c>
      <c r="I65" s="13"/>
      <c r="J65" s="13"/>
      <c r="K65" s="13"/>
      <c r="L65" s="13"/>
      <c r="M65" s="13"/>
      <c r="N65" s="13"/>
      <c r="O65" s="13"/>
      <c r="P65" s="13"/>
    </row>
    <row r="66" ht="42" customHeight="1" spans="1:16">
      <c r="A66" s="10" t="s">
        <v>148</v>
      </c>
      <c r="B66" s="11">
        <v>110</v>
      </c>
      <c r="C66" s="15" t="s">
        <v>235</v>
      </c>
      <c r="D66" s="13"/>
      <c r="E66" s="13">
        <f t="shared" si="35"/>
        <v>110</v>
      </c>
      <c r="F66" s="13">
        <f t="shared" si="33"/>
        <v>0</v>
      </c>
      <c r="G66" s="14">
        <f t="shared" si="31"/>
        <v>0</v>
      </c>
      <c r="H66" s="14">
        <f t="shared" si="32"/>
        <v>0</v>
      </c>
      <c r="I66" s="13"/>
      <c r="J66" s="13"/>
      <c r="K66" s="13"/>
      <c r="L66" s="13"/>
      <c r="M66" s="13"/>
      <c r="N66" s="13"/>
      <c r="O66" s="13"/>
      <c r="P66" s="13"/>
    </row>
    <row r="67" ht="42" customHeight="1" spans="1:16">
      <c r="A67" s="10" t="s">
        <v>195</v>
      </c>
      <c r="B67" s="11">
        <v>10</v>
      </c>
      <c r="C67" s="15" t="s">
        <v>236</v>
      </c>
      <c r="D67" s="13">
        <v>10</v>
      </c>
      <c r="E67" s="13">
        <f t="shared" si="35"/>
        <v>0</v>
      </c>
      <c r="F67" s="13">
        <f t="shared" si="33"/>
        <v>100</v>
      </c>
      <c r="G67" s="14">
        <f t="shared" si="31"/>
        <v>10</v>
      </c>
      <c r="H67" s="14">
        <f t="shared" si="32"/>
        <v>0</v>
      </c>
      <c r="I67" s="13"/>
      <c r="J67" s="13"/>
      <c r="K67" s="13"/>
      <c r="L67" s="13"/>
      <c r="M67" s="13"/>
      <c r="N67" s="13"/>
      <c r="O67" s="13"/>
      <c r="P67" s="13">
        <v>10</v>
      </c>
    </row>
    <row r="68" ht="43" customHeight="1" spans="1:16">
      <c r="A68" s="198" t="s">
        <v>27</v>
      </c>
      <c r="B68" s="199">
        <f>B6+B34+B47+B61</f>
        <v>33032.5</v>
      </c>
      <c r="C68" s="199">
        <f t="shared" ref="C68:P68" si="36">C6+C34+C47+C61</f>
        <v>0</v>
      </c>
      <c r="D68" s="200">
        <f t="shared" si="36"/>
        <v>20759.395149</v>
      </c>
      <c r="E68" s="200">
        <f t="shared" si="36"/>
        <v>12273.104851</v>
      </c>
      <c r="F68" s="200">
        <f t="shared" si="33"/>
        <v>62.8453648649058</v>
      </c>
      <c r="G68" s="200">
        <f t="shared" si="36"/>
        <v>20743.395149</v>
      </c>
      <c r="H68" s="200">
        <f t="shared" si="36"/>
        <v>17302.44875</v>
      </c>
      <c r="I68" s="200">
        <f t="shared" si="36"/>
        <v>5134.53</v>
      </c>
      <c r="J68" s="200">
        <f t="shared" si="36"/>
        <v>7640.15</v>
      </c>
      <c r="K68" s="200">
        <f t="shared" si="36"/>
        <v>2213.5</v>
      </c>
      <c r="L68" s="200">
        <f t="shared" si="36"/>
        <v>531.64</v>
      </c>
      <c r="M68" s="200">
        <f t="shared" si="36"/>
        <v>850</v>
      </c>
      <c r="N68" s="200">
        <f t="shared" si="36"/>
        <v>932.62875</v>
      </c>
      <c r="O68" s="200">
        <f t="shared" si="36"/>
        <v>3226.480399</v>
      </c>
      <c r="P68" s="200">
        <f t="shared" si="36"/>
        <v>214.466</v>
      </c>
    </row>
    <row r="69" ht="40" customHeight="1" spans="1:16">
      <c r="A69" s="201" t="s">
        <v>237</v>
      </c>
      <c r="B69" s="202">
        <f>SUM(B70:B82)</f>
        <v>33032.5</v>
      </c>
      <c r="C69" s="200"/>
      <c r="D69" s="200">
        <f>SUM(D70:D82)</f>
        <v>20759.395149</v>
      </c>
      <c r="E69" s="200">
        <f>SUM(E70:E82)</f>
        <v>12273.104851</v>
      </c>
      <c r="F69" s="200">
        <f t="shared" si="33"/>
        <v>62.8453648649058</v>
      </c>
      <c r="G69" s="200">
        <f>SUM(G70:G82)</f>
        <v>20743.395149</v>
      </c>
      <c r="H69" s="200">
        <f t="shared" ref="H69:P69" si="37">SUM(H70:H82)</f>
        <v>17302.44875</v>
      </c>
      <c r="I69" s="200">
        <f t="shared" si="37"/>
        <v>5134.53</v>
      </c>
      <c r="J69" s="200">
        <f t="shared" si="37"/>
        <v>7640.15</v>
      </c>
      <c r="K69" s="200">
        <f t="shared" si="37"/>
        <v>2213.5</v>
      </c>
      <c r="L69" s="200">
        <f t="shared" si="37"/>
        <v>531.64</v>
      </c>
      <c r="M69" s="200">
        <f t="shared" si="37"/>
        <v>850</v>
      </c>
      <c r="N69" s="200">
        <f t="shared" si="37"/>
        <v>932.62875</v>
      </c>
      <c r="O69" s="200">
        <f t="shared" si="37"/>
        <v>3226.480399</v>
      </c>
      <c r="P69" s="200">
        <f t="shared" si="37"/>
        <v>214.466</v>
      </c>
    </row>
    <row r="70" ht="40" customHeight="1" spans="1:16">
      <c r="A70" s="10" t="s">
        <v>148</v>
      </c>
      <c r="B70" s="13">
        <f>B9+B19+B48+B66+B33</f>
        <v>4528.4003</v>
      </c>
      <c r="C70" s="13"/>
      <c r="D70" s="13">
        <f>D9+D19+D48+D66+D33</f>
        <v>2907.212399</v>
      </c>
      <c r="E70" s="13">
        <f>E9+E19+E48+E66+E33</f>
        <v>1621.187901</v>
      </c>
      <c r="F70" s="13">
        <f t="shared" si="33"/>
        <v>64.19954523455</v>
      </c>
      <c r="G70" s="13">
        <f t="shared" ref="E70:P70" si="38">G9+G19+G48+G66+G33</f>
        <v>2907.212399</v>
      </c>
      <c r="H70" s="13">
        <f t="shared" si="38"/>
        <v>0</v>
      </c>
      <c r="I70" s="13">
        <f t="shared" si="38"/>
        <v>0</v>
      </c>
      <c r="J70" s="13">
        <f t="shared" si="38"/>
        <v>0</v>
      </c>
      <c r="K70" s="13">
        <f t="shared" si="38"/>
        <v>0</v>
      </c>
      <c r="L70" s="13">
        <f t="shared" si="38"/>
        <v>0</v>
      </c>
      <c r="M70" s="13">
        <f t="shared" si="38"/>
        <v>0</v>
      </c>
      <c r="N70" s="13">
        <f t="shared" si="38"/>
        <v>0</v>
      </c>
      <c r="O70" s="13">
        <f t="shared" si="38"/>
        <v>2907.212399</v>
      </c>
      <c r="P70" s="13">
        <f t="shared" si="38"/>
        <v>0</v>
      </c>
    </row>
    <row r="71" ht="40" customHeight="1" spans="1:16">
      <c r="A71" s="10" t="s">
        <v>150</v>
      </c>
      <c r="B71" s="13">
        <f>B10+B16+B20+B27+B29+B43+B44+B24+B26+B36+B38+B40+B51+B52+B53+B54+B57+B58+B59+B64</f>
        <v>14681.4917</v>
      </c>
      <c r="C71" s="13"/>
      <c r="D71" s="13">
        <f t="shared" ref="C71:P71" si="39">D10+D16+D20+D27+D29+D43+D44+D24+D26+D36+D38+D40+D51+D52+D53+D54+D57+D58+D59+D64</f>
        <v>12193.16</v>
      </c>
      <c r="E71" s="13">
        <f t="shared" si="39"/>
        <v>2488.3317</v>
      </c>
      <c r="F71" s="13">
        <f t="shared" si="33"/>
        <v>83.0512338197896</v>
      </c>
      <c r="G71" s="13">
        <f t="shared" si="39"/>
        <v>12177.16</v>
      </c>
      <c r="H71" s="13">
        <f t="shared" si="39"/>
        <v>12177.16</v>
      </c>
      <c r="I71" s="13">
        <f t="shared" si="39"/>
        <v>5134.53</v>
      </c>
      <c r="J71" s="13">
        <f t="shared" si="39"/>
        <v>4767.15</v>
      </c>
      <c r="K71" s="13">
        <f t="shared" si="39"/>
        <v>2213.5</v>
      </c>
      <c r="L71" s="13">
        <f t="shared" si="39"/>
        <v>61.98</v>
      </c>
      <c r="M71" s="13">
        <f t="shared" si="39"/>
        <v>0</v>
      </c>
      <c r="N71" s="13">
        <f t="shared" si="39"/>
        <v>0</v>
      </c>
      <c r="O71" s="13">
        <f t="shared" si="39"/>
        <v>0</v>
      </c>
      <c r="P71" s="13">
        <f t="shared" si="39"/>
        <v>0</v>
      </c>
    </row>
    <row r="72" ht="40" customHeight="1" spans="1:16">
      <c r="A72" s="10" t="s">
        <v>152</v>
      </c>
      <c r="B72" s="13">
        <f>B11+B17+B21+B12</f>
        <v>3020</v>
      </c>
      <c r="C72" s="13"/>
      <c r="D72" s="13">
        <f t="shared" ref="C72:P72" si="40">D11+D17+D21+D12</f>
        <v>567</v>
      </c>
      <c r="E72" s="13">
        <f t="shared" si="40"/>
        <v>2453</v>
      </c>
      <c r="F72" s="13">
        <f t="shared" si="33"/>
        <v>18.7748344370861</v>
      </c>
      <c r="G72" s="13">
        <f t="shared" si="40"/>
        <v>567</v>
      </c>
      <c r="H72" s="13">
        <f t="shared" si="40"/>
        <v>567</v>
      </c>
      <c r="I72" s="13">
        <f t="shared" si="40"/>
        <v>0</v>
      </c>
      <c r="J72" s="13">
        <f t="shared" si="40"/>
        <v>0</v>
      </c>
      <c r="K72" s="13">
        <f t="shared" si="40"/>
        <v>0</v>
      </c>
      <c r="L72" s="13">
        <f t="shared" si="40"/>
        <v>0</v>
      </c>
      <c r="M72" s="13">
        <f t="shared" si="40"/>
        <v>0</v>
      </c>
      <c r="N72" s="13">
        <f t="shared" si="40"/>
        <v>567</v>
      </c>
      <c r="O72" s="13">
        <f t="shared" si="40"/>
        <v>0</v>
      </c>
      <c r="P72" s="13">
        <f t="shared" si="40"/>
        <v>0</v>
      </c>
    </row>
    <row r="73" ht="40" customHeight="1" spans="1:16">
      <c r="A73" s="10" t="s">
        <v>36</v>
      </c>
      <c r="B73" s="13">
        <f>B13+B32</f>
        <v>877.04</v>
      </c>
      <c r="C73" s="13"/>
      <c r="D73" s="13">
        <f t="shared" ref="C73:P73" si="41">D13+D32</f>
        <v>403.626</v>
      </c>
      <c r="E73" s="13">
        <f t="shared" si="41"/>
        <v>473.414</v>
      </c>
      <c r="F73" s="13">
        <f t="shared" si="33"/>
        <v>46.0213901304387</v>
      </c>
      <c r="G73" s="13">
        <f t="shared" si="41"/>
        <v>403.626</v>
      </c>
      <c r="H73" s="13">
        <f t="shared" si="41"/>
        <v>319.16</v>
      </c>
      <c r="I73" s="13">
        <f t="shared" si="41"/>
        <v>0</v>
      </c>
      <c r="J73" s="13">
        <f t="shared" si="41"/>
        <v>0</v>
      </c>
      <c r="K73" s="13">
        <f t="shared" si="41"/>
        <v>0</v>
      </c>
      <c r="L73" s="13">
        <f t="shared" si="41"/>
        <v>240.6</v>
      </c>
      <c r="M73" s="13">
        <f t="shared" si="41"/>
        <v>0</v>
      </c>
      <c r="N73" s="13">
        <f t="shared" si="41"/>
        <v>78.56</v>
      </c>
      <c r="O73" s="13">
        <f t="shared" si="41"/>
        <v>40</v>
      </c>
      <c r="P73" s="13">
        <f t="shared" si="41"/>
        <v>44.466</v>
      </c>
    </row>
    <row r="74" ht="40" customHeight="1" spans="1:16">
      <c r="A74" s="10" t="s">
        <v>33</v>
      </c>
      <c r="B74" s="13">
        <f>B14+B23+B62</f>
        <v>3410</v>
      </c>
      <c r="C74" s="13"/>
      <c r="D74" s="13">
        <f t="shared" ref="C74:P74" si="42">D14+D23+D62</f>
        <v>3160.06875</v>
      </c>
      <c r="E74" s="13">
        <f t="shared" si="42"/>
        <v>249.93125</v>
      </c>
      <c r="F74" s="13">
        <f t="shared" si="33"/>
        <v>92.670637829912</v>
      </c>
      <c r="G74" s="13">
        <f t="shared" si="42"/>
        <v>3160.06875</v>
      </c>
      <c r="H74" s="13">
        <f t="shared" si="42"/>
        <v>3160.06875</v>
      </c>
      <c r="I74" s="13">
        <f t="shared" si="42"/>
        <v>0</v>
      </c>
      <c r="J74" s="13">
        <f t="shared" si="42"/>
        <v>2873</v>
      </c>
      <c r="K74" s="13">
        <f t="shared" si="42"/>
        <v>0</v>
      </c>
      <c r="L74" s="13">
        <f t="shared" si="42"/>
        <v>0</v>
      </c>
      <c r="M74" s="13">
        <f t="shared" si="42"/>
        <v>0</v>
      </c>
      <c r="N74" s="13">
        <f t="shared" si="42"/>
        <v>287.06875</v>
      </c>
      <c r="O74" s="13">
        <f t="shared" si="42"/>
        <v>0</v>
      </c>
      <c r="P74" s="13">
        <f t="shared" si="42"/>
        <v>0</v>
      </c>
    </row>
    <row r="75" ht="40" customHeight="1" spans="1:16">
      <c r="A75" s="10" t="s">
        <v>199</v>
      </c>
      <c r="B75" s="13">
        <f>B55+B56</f>
        <v>649.268</v>
      </c>
      <c r="C75" s="13"/>
      <c r="D75" s="13">
        <f t="shared" ref="C75:P75" si="43">D55+D56</f>
        <v>49.268</v>
      </c>
      <c r="E75" s="13">
        <f t="shared" si="43"/>
        <v>600</v>
      </c>
      <c r="F75" s="13">
        <f t="shared" si="33"/>
        <v>7.58823783091112</v>
      </c>
      <c r="G75" s="13">
        <f t="shared" si="43"/>
        <v>49.268</v>
      </c>
      <c r="H75" s="13">
        <f t="shared" si="43"/>
        <v>0</v>
      </c>
      <c r="I75" s="13">
        <f t="shared" si="43"/>
        <v>0</v>
      </c>
      <c r="J75" s="13">
        <f t="shared" si="43"/>
        <v>0</v>
      </c>
      <c r="K75" s="13">
        <f t="shared" si="43"/>
        <v>0</v>
      </c>
      <c r="L75" s="13">
        <f t="shared" si="43"/>
        <v>0</v>
      </c>
      <c r="M75" s="13">
        <f t="shared" si="43"/>
        <v>0</v>
      </c>
      <c r="N75" s="13">
        <f t="shared" si="43"/>
        <v>0</v>
      </c>
      <c r="O75" s="13">
        <f t="shared" si="43"/>
        <v>49.268</v>
      </c>
      <c r="P75" s="13">
        <f t="shared" si="43"/>
        <v>0</v>
      </c>
    </row>
    <row r="76" ht="40" customHeight="1" spans="1:16">
      <c r="A76" s="10" t="s">
        <v>37</v>
      </c>
      <c r="B76" s="13">
        <f>B25+B37+B39+B63</f>
        <v>1430</v>
      </c>
      <c r="C76" s="13"/>
      <c r="D76" s="13">
        <f t="shared" ref="C76:P76" si="44">D25+D37+D39+D63</f>
        <v>1079.06</v>
      </c>
      <c r="E76" s="13">
        <f t="shared" si="44"/>
        <v>350.94</v>
      </c>
      <c r="F76" s="13">
        <f t="shared" si="33"/>
        <v>75.4587412587413</v>
      </c>
      <c r="G76" s="13">
        <f t="shared" si="44"/>
        <v>1079.06</v>
      </c>
      <c r="H76" s="13">
        <f t="shared" si="44"/>
        <v>1079.06</v>
      </c>
      <c r="I76" s="13">
        <f t="shared" si="44"/>
        <v>0</v>
      </c>
      <c r="J76" s="13">
        <f t="shared" si="44"/>
        <v>0</v>
      </c>
      <c r="K76" s="13">
        <f t="shared" si="44"/>
        <v>0</v>
      </c>
      <c r="L76" s="13">
        <f t="shared" si="44"/>
        <v>229.06</v>
      </c>
      <c r="M76" s="13">
        <f t="shared" si="44"/>
        <v>850</v>
      </c>
      <c r="N76" s="13">
        <f t="shared" si="44"/>
        <v>0</v>
      </c>
      <c r="O76" s="13">
        <f t="shared" si="44"/>
        <v>0</v>
      </c>
      <c r="P76" s="13">
        <f t="shared" si="44"/>
        <v>0</v>
      </c>
    </row>
    <row r="77" ht="40" customHeight="1" spans="1:16">
      <c r="A77" s="10" t="s">
        <v>191</v>
      </c>
      <c r="B77" s="13">
        <f>B42</f>
        <v>150</v>
      </c>
      <c r="C77" s="13"/>
      <c r="D77" s="13">
        <f t="shared" ref="B77:P77" si="45">D42</f>
        <v>0</v>
      </c>
      <c r="E77" s="13">
        <f t="shared" si="45"/>
        <v>150</v>
      </c>
      <c r="F77" s="13">
        <f t="shared" ref="F70:F82" si="46">D77/B77*100</f>
        <v>0</v>
      </c>
      <c r="G77" s="13">
        <f t="shared" si="45"/>
        <v>0</v>
      </c>
      <c r="H77" s="13">
        <f t="shared" si="45"/>
        <v>0</v>
      </c>
      <c r="I77" s="13">
        <f t="shared" si="45"/>
        <v>0</v>
      </c>
      <c r="J77" s="13">
        <f t="shared" si="45"/>
        <v>0</v>
      </c>
      <c r="K77" s="13">
        <f t="shared" si="45"/>
        <v>0</v>
      </c>
      <c r="L77" s="13">
        <f t="shared" si="45"/>
        <v>0</v>
      </c>
      <c r="M77" s="13">
        <f t="shared" si="45"/>
        <v>0</v>
      </c>
      <c r="N77" s="13">
        <f t="shared" si="45"/>
        <v>0</v>
      </c>
      <c r="O77" s="13">
        <f t="shared" si="45"/>
        <v>0</v>
      </c>
      <c r="P77" s="13">
        <f t="shared" si="45"/>
        <v>0</v>
      </c>
    </row>
    <row r="78" ht="38" customHeight="1" spans="1:16">
      <c r="A78" s="10" t="s">
        <v>195</v>
      </c>
      <c r="B78" s="13">
        <f>B45+B67</f>
        <v>110</v>
      </c>
      <c r="C78" s="13"/>
      <c r="D78" s="13">
        <f t="shared" ref="C78:P78" si="47">D45+D67</f>
        <v>10</v>
      </c>
      <c r="E78" s="13">
        <f t="shared" si="47"/>
        <v>100</v>
      </c>
      <c r="F78" s="13">
        <f t="shared" si="46"/>
        <v>9.09090909090909</v>
      </c>
      <c r="G78" s="13">
        <f t="shared" si="47"/>
        <v>10</v>
      </c>
      <c r="H78" s="13">
        <f t="shared" si="47"/>
        <v>0</v>
      </c>
      <c r="I78" s="13">
        <f t="shared" si="47"/>
        <v>0</v>
      </c>
      <c r="J78" s="13">
        <f t="shared" si="47"/>
        <v>0</v>
      </c>
      <c r="K78" s="13">
        <f t="shared" si="47"/>
        <v>0</v>
      </c>
      <c r="L78" s="13">
        <f t="shared" si="47"/>
        <v>0</v>
      </c>
      <c r="M78" s="13">
        <f t="shared" si="47"/>
        <v>0</v>
      </c>
      <c r="N78" s="13">
        <f t="shared" si="47"/>
        <v>0</v>
      </c>
      <c r="O78" s="13">
        <f t="shared" si="47"/>
        <v>0</v>
      </c>
      <c r="P78" s="13">
        <f t="shared" si="47"/>
        <v>10</v>
      </c>
    </row>
    <row r="79" ht="38" customHeight="1" spans="1:16">
      <c r="A79" s="10" t="s">
        <v>35</v>
      </c>
      <c r="B79" s="13">
        <f>B30+B31+B49+B65</f>
        <v>3416.8</v>
      </c>
      <c r="C79" s="13"/>
      <c r="D79" s="13">
        <f t="shared" ref="C79:P79" si="48">D30+D31+D49+D65</f>
        <v>0</v>
      </c>
      <c r="E79" s="13">
        <f t="shared" si="48"/>
        <v>3416.8</v>
      </c>
      <c r="F79" s="13">
        <f t="shared" si="46"/>
        <v>0</v>
      </c>
      <c r="G79" s="13">
        <f t="shared" si="48"/>
        <v>0</v>
      </c>
      <c r="H79" s="13">
        <f t="shared" si="48"/>
        <v>0</v>
      </c>
      <c r="I79" s="13">
        <f t="shared" si="48"/>
        <v>0</v>
      </c>
      <c r="J79" s="13">
        <f t="shared" si="48"/>
        <v>0</v>
      </c>
      <c r="K79" s="13">
        <f t="shared" si="48"/>
        <v>0</v>
      </c>
      <c r="L79" s="13">
        <f t="shared" si="48"/>
        <v>0</v>
      </c>
      <c r="M79" s="13">
        <f t="shared" si="48"/>
        <v>0</v>
      </c>
      <c r="N79" s="13">
        <f t="shared" si="48"/>
        <v>0</v>
      </c>
      <c r="O79" s="13">
        <f t="shared" si="48"/>
        <v>0</v>
      </c>
      <c r="P79" s="13">
        <f t="shared" si="48"/>
        <v>0</v>
      </c>
    </row>
    <row r="80" ht="38" customHeight="1" spans="1:16">
      <c r="A80" s="10" t="s">
        <v>197</v>
      </c>
      <c r="B80" s="13">
        <f>B46</f>
        <v>160</v>
      </c>
      <c r="C80" s="13"/>
      <c r="D80" s="13">
        <f t="shared" ref="B80:P80" si="49">D46</f>
        <v>160</v>
      </c>
      <c r="E80" s="13">
        <f t="shared" si="49"/>
        <v>0</v>
      </c>
      <c r="F80" s="13">
        <f t="shared" si="46"/>
        <v>100</v>
      </c>
      <c r="G80" s="13">
        <f t="shared" si="49"/>
        <v>160</v>
      </c>
      <c r="H80" s="13">
        <f t="shared" si="49"/>
        <v>0</v>
      </c>
      <c r="I80" s="13">
        <f t="shared" si="49"/>
        <v>0</v>
      </c>
      <c r="J80" s="13">
        <f t="shared" si="49"/>
        <v>0</v>
      </c>
      <c r="K80" s="13">
        <f t="shared" si="49"/>
        <v>0</v>
      </c>
      <c r="L80" s="13">
        <f t="shared" si="49"/>
        <v>0</v>
      </c>
      <c r="M80" s="13">
        <f t="shared" si="49"/>
        <v>0</v>
      </c>
      <c r="N80" s="13">
        <f t="shared" si="49"/>
        <v>0</v>
      </c>
      <c r="O80" s="13">
        <f t="shared" si="49"/>
        <v>0</v>
      </c>
      <c r="P80" s="13">
        <f t="shared" si="49"/>
        <v>160</v>
      </c>
    </row>
    <row r="81" ht="38" customHeight="1" spans="1:16">
      <c r="A81" s="10" t="s">
        <v>43</v>
      </c>
      <c r="B81" s="13">
        <f>B60</f>
        <v>19.5</v>
      </c>
      <c r="C81" s="13"/>
      <c r="D81" s="13">
        <f t="shared" ref="C81:P81" si="50">D60</f>
        <v>0</v>
      </c>
      <c r="E81" s="13">
        <f t="shared" si="50"/>
        <v>19.5</v>
      </c>
      <c r="F81" s="13">
        <f t="shared" si="46"/>
        <v>0</v>
      </c>
      <c r="G81" s="13">
        <f t="shared" si="50"/>
        <v>0</v>
      </c>
      <c r="H81" s="13">
        <f t="shared" si="50"/>
        <v>0</v>
      </c>
      <c r="I81" s="13">
        <f t="shared" si="50"/>
        <v>0</v>
      </c>
      <c r="J81" s="13">
        <f t="shared" si="50"/>
        <v>0</v>
      </c>
      <c r="K81" s="13">
        <f t="shared" si="50"/>
        <v>0</v>
      </c>
      <c r="L81" s="13">
        <f t="shared" si="50"/>
        <v>0</v>
      </c>
      <c r="M81" s="13">
        <f t="shared" si="50"/>
        <v>0</v>
      </c>
      <c r="N81" s="13">
        <f t="shared" si="50"/>
        <v>0</v>
      </c>
      <c r="O81" s="13">
        <f t="shared" si="50"/>
        <v>0</v>
      </c>
      <c r="P81" s="13">
        <f t="shared" si="50"/>
        <v>0</v>
      </c>
    </row>
    <row r="82" ht="33" customHeight="1" spans="1:16">
      <c r="A82" s="10" t="s">
        <v>218</v>
      </c>
      <c r="B82" s="13">
        <f>B50</f>
        <v>580</v>
      </c>
      <c r="C82" s="13"/>
      <c r="D82" s="13">
        <f t="shared" ref="C82:P82" si="51">D50</f>
        <v>230</v>
      </c>
      <c r="E82" s="13">
        <f t="shared" si="51"/>
        <v>350</v>
      </c>
      <c r="F82" s="13">
        <f t="shared" si="46"/>
        <v>39.6551724137931</v>
      </c>
      <c r="G82" s="13">
        <f t="shared" si="51"/>
        <v>230</v>
      </c>
      <c r="H82" s="13">
        <f t="shared" si="51"/>
        <v>0</v>
      </c>
      <c r="I82" s="13">
        <f t="shared" si="51"/>
        <v>0</v>
      </c>
      <c r="J82" s="13">
        <f t="shared" si="51"/>
        <v>0</v>
      </c>
      <c r="K82" s="13">
        <f t="shared" si="51"/>
        <v>0</v>
      </c>
      <c r="L82" s="13">
        <f t="shared" si="51"/>
        <v>0</v>
      </c>
      <c r="M82" s="13">
        <f t="shared" si="51"/>
        <v>0</v>
      </c>
      <c r="N82" s="13">
        <f t="shared" si="51"/>
        <v>0</v>
      </c>
      <c r="O82" s="13">
        <f t="shared" si="51"/>
        <v>230</v>
      </c>
      <c r="P82" s="13">
        <f t="shared" si="51"/>
        <v>0</v>
      </c>
    </row>
  </sheetData>
  <mergeCells count="14">
    <mergeCell ref="A1:P1"/>
    <mergeCell ref="C2:K2"/>
    <mergeCell ref="O2:P2"/>
    <mergeCell ref="G3:P3"/>
    <mergeCell ref="H4:N4"/>
    <mergeCell ref="A3:A5"/>
    <mergeCell ref="B3:B5"/>
    <mergeCell ref="C3:C5"/>
    <mergeCell ref="D3:D5"/>
    <mergeCell ref="E3:E5"/>
    <mergeCell ref="F3:F5"/>
    <mergeCell ref="G4:G5"/>
    <mergeCell ref="O4:O5"/>
    <mergeCell ref="P4:P5"/>
  </mergeCells>
  <pageMargins left="0.609027777777778" right="0.354166666666667" top="0.393055555555556" bottom="0.196527777777778" header="0.511805555555556" footer="0.511805555555556"/>
  <pageSetup paperSize="9" scale="52" fitToHeight="0" orientation="landscape" horizontalDpi="600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showZeros="0" zoomScale="72" zoomScaleNormal="72" workbookViewId="0">
      <pane xSplit="1" ySplit="5" topLeftCell="B6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34.8916666666667" customWidth="1"/>
    <col min="2" max="2" width="13.1833333333333" customWidth="1"/>
    <col min="3" max="3" width="35.5916666666667" customWidth="1"/>
    <col min="4" max="4" width="13.1916666666667" customWidth="1"/>
    <col min="5" max="5" width="12.0833333333333" customWidth="1"/>
    <col min="6" max="6" width="10.75" customWidth="1"/>
    <col min="7" max="7" width="13.025" customWidth="1"/>
    <col min="8" max="8" width="13.1916666666667" customWidth="1"/>
    <col min="9" max="9" width="12.25" customWidth="1"/>
    <col min="10" max="10" width="12.9166666666667" customWidth="1"/>
    <col min="11" max="11" width="13.1666666666667" customWidth="1"/>
    <col min="12" max="12" width="10.5916666666667" customWidth="1"/>
    <col min="13" max="13" width="11.25" customWidth="1"/>
    <col min="14" max="14" width="12.5" customWidth="1"/>
    <col min="15" max="15" width="12.15" customWidth="1"/>
    <col min="16" max="16" width="10.75" customWidth="1"/>
  </cols>
  <sheetData>
    <row r="1" ht="61" customHeight="1" spans="1:16">
      <c r="A1" s="1" t="s">
        <v>238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 spans="1:16">
      <c r="A2" s="2" t="s">
        <v>1</v>
      </c>
      <c r="B2" s="3"/>
      <c r="C2" s="4">
        <v>43707</v>
      </c>
      <c r="D2" s="4"/>
      <c r="E2" s="4"/>
      <c r="F2" s="4"/>
      <c r="G2" s="4"/>
      <c r="H2" s="4"/>
      <c r="I2" s="4"/>
      <c r="J2" s="4"/>
      <c r="K2" s="4"/>
      <c r="L2" s="16"/>
      <c r="M2" s="16"/>
      <c r="N2" s="16"/>
      <c r="O2" s="17" t="s">
        <v>3</v>
      </c>
      <c r="P2" s="17"/>
    </row>
    <row r="3" ht="35" customHeight="1" spans="1:16">
      <c r="A3" s="174" t="s">
        <v>134</v>
      </c>
      <c r="B3" s="174" t="s">
        <v>135</v>
      </c>
      <c r="C3" s="174" t="s">
        <v>62</v>
      </c>
      <c r="D3" s="175" t="s">
        <v>136</v>
      </c>
      <c r="E3" s="175" t="s">
        <v>137</v>
      </c>
      <c r="F3" s="175" t="s">
        <v>7</v>
      </c>
      <c r="G3" s="174" t="s">
        <v>65</v>
      </c>
      <c r="H3" s="174"/>
      <c r="I3" s="174"/>
      <c r="J3" s="174"/>
      <c r="K3" s="174"/>
      <c r="L3" s="174"/>
      <c r="M3" s="174"/>
      <c r="N3" s="174"/>
      <c r="O3" s="174"/>
      <c r="P3" s="174"/>
    </row>
    <row r="4" ht="35" customHeight="1" spans="1:16">
      <c r="A4" s="174"/>
      <c r="B4" s="174"/>
      <c r="C4" s="174"/>
      <c r="D4" s="175"/>
      <c r="E4" s="175"/>
      <c r="F4" s="175"/>
      <c r="G4" s="174" t="s">
        <v>138</v>
      </c>
      <c r="H4" s="174" t="s">
        <v>139</v>
      </c>
      <c r="I4" s="174"/>
      <c r="J4" s="174"/>
      <c r="K4" s="174"/>
      <c r="L4" s="174"/>
      <c r="M4" s="174"/>
      <c r="N4" s="174"/>
      <c r="O4" s="181" t="s">
        <v>140</v>
      </c>
      <c r="P4" s="174" t="s">
        <v>141</v>
      </c>
    </row>
    <row r="5" ht="35" customHeight="1" spans="1:16">
      <c r="A5" s="174"/>
      <c r="B5" s="174"/>
      <c r="C5" s="174"/>
      <c r="D5" s="175"/>
      <c r="E5" s="175"/>
      <c r="F5" s="175"/>
      <c r="G5" s="174"/>
      <c r="H5" s="174" t="s">
        <v>66</v>
      </c>
      <c r="I5" s="174" t="s">
        <v>142</v>
      </c>
      <c r="J5" s="174" t="s">
        <v>143</v>
      </c>
      <c r="K5" s="174" t="s">
        <v>144</v>
      </c>
      <c r="L5" s="175" t="s">
        <v>69</v>
      </c>
      <c r="M5" s="175" t="s">
        <v>145</v>
      </c>
      <c r="N5" s="174" t="s">
        <v>131</v>
      </c>
      <c r="O5" s="181"/>
      <c r="P5" s="174"/>
    </row>
    <row r="6" ht="66" customHeight="1" spans="1:16">
      <c r="A6" s="176" t="s">
        <v>138</v>
      </c>
      <c r="B6" s="177">
        <f t="shared" ref="B6:G6" si="0">B7+B13</f>
        <v>3000</v>
      </c>
      <c r="C6" s="177">
        <f t="shared" si="0"/>
        <v>0</v>
      </c>
      <c r="D6" s="177">
        <f t="shared" si="0"/>
        <v>1834.74</v>
      </c>
      <c r="E6" s="177">
        <f t="shared" si="0"/>
        <v>1165.26</v>
      </c>
      <c r="F6" s="178">
        <f t="shared" ref="F6:F19" si="1">D6/B6*100</f>
        <v>61.158</v>
      </c>
      <c r="G6" s="177">
        <f t="shared" si="0"/>
        <v>1834.74</v>
      </c>
      <c r="H6" s="179">
        <f t="shared" ref="H6:H18" si="2">SUM(I6:N6)</f>
        <v>1674.74</v>
      </c>
      <c r="I6" s="177">
        <f t="shared" ref="I6:P6" si="3">I7+I13</f>
        <v>0</v>
      </c>
      <c r="J6" s="177">
        <f t="shared" si="3"/>
        <v>1008.7</v>
      </c>
      <c r="K6" s="177">
        <f t="shared" si="3"/>
        <v>365</v>
      </c>
      <c r="L6" s="177">
        <f t="shared" si="3"/>
        <v>271.04</v>
      </c>
      <c r="M6" s="177">
        <f t="shared" si="3"/>
        <v>30</v>
      </c>
      <c r="N6" s="177">
        <f t="shared" si="3"/>
        <v>0</v>
      </c>
      <c r="O6" s="177">
        <f t="shared" si="3"/>
        <v>0</v>
      </c>
      <c r="P6" s="177">
        <f t="shared" si="3"/>
        <v>160</v>
      </c>
    </row>
    <row r="7" ht="60" customHeight="1" spans="1:16">
      <c r="A7" s="180" t="s">
        <v>189</v>
      </c>
      <c r="B7" s="11">
        <f t="shared" ref="B7:G7" si="4">SUM(B8:B12)</f>
        <v>2350</v>
      </c>
      <c r="C7" s="11">
        <f t="shared" si="4"/>
        <v>0</v>
      </c>
      <c r="D7" s="11">
        <f t="shared" si="4"/>
        <v>1674.74</v>
      </c>
      <c r="E7" s="11">
        <f t="shared" si="4"/>
        <v>675.26</v>
      </c>
      <c r="F7" s="13">
        <f t="shared" si="1"/>
        <v>71.2655319148936</v>
      </c>
      <c r="G7" s="11">
        <f t="shared" si="4"/>
        <v>1674.74</v>
      </c>
      <c r="H7" s="14">
        <f t="shared" si="2"/>
        <v>1674.74</v>
      </c>
      <c r="I7" s="11">
        <f t="shared" ref="I7:P7" si="5">SUM(I8:I12)</f>
        <v>0</v>
      </c>
      <c r="J7" s="11">
        <f t="shared" si="5"/>
        <v>1008.7</v>
      </c>
      <c r="K7" s="11">
        <f t="shared" si="5"/>
        <v>365</v>
      </c>
      <c r="L7" s="11">
        <f t="shared" si="5"/>
        <v>271.04</v>
      </c>
      <c r="M7" s="11">
        <f t="shared" si="5"/>
        <v>30</v>
      </c>
      <c r="N7" s="11">
        <f t="shared" si="5"/>
        <v>0</v>
      </c>
      <c r="O7" s="11">
        <f t="shared" si="5"/>
        <v>0</v>
      </c>
      <c r="P7" s="11">
        <f t="shared" si="5"/>
        <v>0</v>
      </c>
    </row>
    <row r="8" ht="60" customHeight="1" spans="1:16">
      <c r="A8" s="10" t="s">
        <v>150</v>
      </c>
      <c r="B8" s="11">
        <v>1020</v>
      </c>
      <c r="C8" s="12" t="s">
        <v>167</v>
      </c>
      <c r="D8" s="13">
        <v>1008.7</v>
      </c>
      <c r="E8" s="13">
        <f t="shared" ref="E8:E18" si="6">B8-D8</f>
        <v>11.3</v>
      </c>
      <c r="F8" s="13">
        <f t="shared" si="1"/>
        <v>98.8921568627451</v>
      </c>
      <c r="G8" s="14">
        <f t="shared" ref="G8:G18" si="7">H8+O8+P8</f>
        <v>1008.7</v>
      </c>
      <c r="H8" s="14">
        <f t="shared" si="2"/>
        <v>1008.7</v>
      </c>
      <c r="I8" s="13">
        <v>0</v>
      </c>
      <c r="J8" s="13">
        <v>1008.7</v>
      </c>
      <c r="K8" s="13"/>
      <c r="L8" s="13"/>
      <c r="M8" s="13"/>
      <c r="N8" s="13"/>
      <c r="O8" s="13"/>
      <c r="P8" s="13"/>
    </row>
    <row r="9" ht="60" customHeight="1" spans="1:16">
      <c r="A9" s="10" t="s">
        <v>37</v>
      </c>
      <c r="B9" s="11">
        <v>100</v>
      </c>
      <c r="C9" s="15" t="s">
        <v>168</v>
      </c>
      <c r="D9" s="13">
        <v>29.06</v>
      </c>
      <c r="E9" s="13">
        <f t="shared" si="6"/>
        <v>70.94</v>
      </c>
      <c r="F9" s="13">
        <f t="shared" si="1"/>
        <v>29.06</v>
      </c>
      <c r="G9" s="14">
        <f t="shared" si="7"/>
        <v>29.06</v>
      </c>
      <c r="H9" s="14">
        <f t="shared" si="2"/>
        <v>29.06</v>
      </c>
      <c r="I9" s="13">
        <v>0</v>
      </c>
      <c r="J9" s="13"/>
      <c r="K9" s="13"/>
      <c r="L9" s="13">
        <v>29.06</v>
      </c>
      <c r="M9" s="13"/>
      <c r="N9" s="13"/>
      <c r="O9" s="13"/>
      <c r="P9" s="13"/>
    </row>
    <row r="10" ht="60" customHeight="1" spans="1:16">
      <c r="A10" s="10" t="s">
        <v>150</v>
      </c>
      <c r="B10" s="11">
        <v>400</v>
      </c>
      <c r="C10" s="12" t="s">
        <v>164</v>
      </c>
      <c r="D10" s="13">
        <v>365</v>
      </c>
      <c r="E10" s="13">
        <f t="shared" si="6"/>
        <v>35</v>
      </c>
      <c r="F10" s="13">
        <f t="shared" si="1"/>
        <v>91.25</v>
      </c>
      <c r="G10" s="14">
        <f t="shared" si="7"/>
        <v>365</v>
      </c>
      <c r="H10" s="14">
        <f t="shared" si="2"/>
        <v>365</v>
      </c>
      <c r="I10" s="13"/>
      <c r="J10" s="13"/>
      <c r="K10" s="13">
        <v>365</v>
      </c>
      <c r="L10" s="13"/>
      <c r="M10" s="13"/>
      <c r="N10" s="13"/>
      <c r="O10" s="13"/>
      <c r="P10" s="13"/>
    </row>
    <row r="11" ht="60" customHeight="1" spans="1:16">
      <c r="A11" s="10" t="s">
        <v>37</v>
      </c>
      <c r="B11" s="11">
        <v>780</v>
      </c>
      <c r="C11" s="15" t="s">
        <v>163</v>
      </c>
      <c r="D11" s="13">
        <v>230</v>
      </c>
      <c r="E11" s="13">
        <f t="shared" si="6"/>
        <v>550</v>
      </c>
      <c r="F11" s="13">
        <f t="shared" si="1"/>
        <v>29.4871794871795</v>
      </c>
      <c r="G11" s="14">
        <f t="shared" si="7"/>
        <v>230</v>
      </c>
      <c r="H11" s="14">
        <f t="shared" si="2"/>
        <v>230</v>
      </c>
      <c r="I11" s="13"/>
      <c r="J11" s="13"/>
      <c r="K11" s="13"/>
      <c r="L11" s="13">
        <v>200</v>
      </c>
      <c r="M11" s="13">
        <v>30</v>
      </c>
      <c r="N11" s="13"/>
      <c r="O11" s="13"/>
      <c r="P11" s="13"/>
    </row>
    <row r="12" ht="60" customHeight="1" spans="1:16">
      <c r="A12" s="10" t="s">
        <v>150</v>
      </c>
      <c r="B12" s="11">
        <v>50</v>
      </c>
      <c r="C12" s="15" t="s">
        <v>169</v>
      </c>
      <c r="D12" s="13">
        <v>41.98</v>
      </c>
      <c r="E12" s="13">
        <f t="shared" si="6"/>
        <v>8.02</v>
      </c>
      <c r="F12" s="13">
        <f t="shared" si="1"/>
        <v>83.96</v>
      </c>
      <c r="G12" s="14">
        <f t="shared" si="7"/>
        <v>41.98</v>
      </c>
      <c r="H12" s="14">
        <f t="shared" si="2"/>
        <v>41.98</v>
      </c>
      <c r="I12" s="13">
        <v>0</v>
      </c>
      <c r="J12" s="13"/>
      <c r="K12" s="13"/>
      <c r="L12" s="13">
        <v>41.98</v>
      </c>
      <c r="M12" s="13"/>
      <c r="N12" s="13"/>
      <c r="O12" s="13"/>
      <c r="P12" s="13"/>
    </row>
    <row r="13" ht="60" customHeight="1" spans="1:16">
      <c r="A13" s="180" t="s">
        <v>190</v>
      </c>
      <c r="B13" s="11">
        <f>SUM(B14:B18)</f>
        <v>650</v>
      </c>
      <c r="C13" s="11">
        <f>SUM(C14:C18)</f>
        <v>0</v>
      </c>
      <c r="D13" s="13">
        <f>SUM(D14:D18)</f>
        <v>160</v>
      </c>
      <c r="E13" s="13">
        <f t="shared" si="6"/>
        <v>490</v>
      </c>
      <c r="F13" s="13">
        <f t="shared" si="1"/>
        <v>24.6153846153846</v>
      </c>
      <c r="G13" s="14">
        <f t="shared" si="7"/>
        <v>160</v>
      </c>
      <c r="H13" s="14">
        <f t="shared" si="2"/>
        <v>0</v>
      </c>
      <c r="I13" s="11">
        <f t="shared" ref="I13:P13" si="8">SUM(I14:I18)</f>
        <v>0</v>
      </c>
      <c r="J13" s="11">
        <f t="shared" si="8"/>
        <v>0</v>
      </c>
      <c r="K13" s="11">
        <f t="shared" si="8"/>
        <v>0</v>
      </c>
      <c r="L13" s="11">
        <f t="shared" si="8"/>
        <v>0</v>
      </c>
      <c r="M13" s="11">
        <f t="shared" si="8"/>
        <v>0</v>
      </c>
      <c r="N13" s="11">
        <f t="shared" si="8"/>
        <v>0</v>
      </c>
      <c r="O13" s="11">
        <f t="shared" si="8"/>
        <v>0</v>
      </c>
      <c r="P13" s="11">
        <f t="shared" si="8"/>
        <v>160</v>
      </c>
    </row>
    <row r="14" ht="60" customHeight="1" spans="1:16">
      <c r="A14" s="10" t="s">
        <v>191</v>
      </c>
      <c r="B14" s="11">
        <v>150</v>
      </c>
      <c r="C14" s="15" t="s">
        <v>192</v>
      </c>
      <c r="D14" s="13"/>
      <c r="E14" s="13">
        <f t="shared" si="6"/>
        <v>150</v>
      </c>
      <c r="F14" s="13">
        <f t="shared" si="1"/>
        <v>0</v>
      </c>
      <c r="G14" s="14">
        <f t="shared" si="7"/>
        <v>0</v>
      </c>
      <c r="H14" s="14">
        <f t="shared" si="2"/>
        <v>0</v>
      </c>
      <c r="I14" s="13"/>
      <c r="J14" s="13"/>
      <c r="K14" s="13"/>
      <c r="L14" s="13"/>
      <c r="M14" s="13"/>
      <c r="N14" s="13"/>
      <c r="O14" s="13"/>
      <c r="P14" s="13"/>
    </row>
    <row r="15" ht="60" customHeight="1" spans="1:16">
      <c r="A15" s="10" t="s">
        <v>150</v>
      </c>
      <c r="B15" s="11">
        <v>140</v>
      </c>
      <c r="C15" s="15" t="s">
        <v>193</v>
      </c>
      <c r="D15" s="13"/>
      <c r="E15" s="13">
        <f t="shared" si="6"/>
        <v>140</v>
      </c>
      <c r="F15" s="13">
        <f t="shared" si="1"/>
        <v>0</v>
      </c>
      <c r="G15" s="14">
        <f t="shared" si="7"/>
        <v>0</v>
      </c>
      <c r="H15" s="14">
        <f t="shared" si="2"/>
        <v>0</v>
      </c>
      <c r="I15" s="13"/>
      <c r="J15" s="13"/>
      <c r="K15" s="13"/>
      <c r="L15" s="13"/>
      <c r="M15" s="13"/>
      <c r="N15" s="13"/>
      <c r="O15" s="13"/>
      <c r="P15" s="13"/>
    </row>
    <row r="16" ht="60" customHeight="1" spans="1:16">
      <c r="A16" s="10" t="s">
        <v>150</v>
      </c>
      <c r="B16" s="11">
        <v>100</v>
      </c>
      <c r="C16" s="15" t="s">
        <v>194</v>
      </c>
      <c r="D16" s="13"/>
      <c r="E16" s="13">
        <f t="shared" si="6"/>
        <v>100</v>
      </c>
      <c r="F16" s="13">
        <f t="shared" si="1"/>
        <v>0</v>
      </c>
      <c r="G16" s="14">
        <f t="shared" si="7"/>
        <v>0</v>
      </c>
      <c r="H16" s="14">
        <f t="shared" si="2"/>
        <v>0</v>
      </c>
      <c r="I16" s="13"/>
      <c r="J16" s="13"/>
      <c r="K16" s="13"/>
      <c r="L16" s="13"/>
      <c r="M16" s="13"/>
      <c r="N16" s="13"/>
      <c r="O16" s="13"/>
      <c r="P16" s="13"/>
    </row>
    <row r="17" ht="60" customHeight="1" spans="1:16">
      <c r="A17" s="10" t="s">
        <v>195</v>
      </c>
      <c r="B17" s="11">
        <v>100</v>
      </c>
      <c r="C17" s="15" t="s">
        <v>196</v>
      </c>
      <c r="D17" s="13"/>
      <c r="E17" s="13">
        <f t="shared" si="6"/>
        <v>100</v>
      </c>
      <c r="F17" s="13">
        <f t="shared" si="1"/>
        <v>0</v>
      </c>
      <c r="G17" s="14">
        <f t="shared" si="7"/>
        <v>0</v>
      </c>
      <c r="H17" s="14">
        <f t="shared" si="2"/>
        <v>0</v>
      </c>
      <c r="I17" s="13"/>
      <c r="J17" s="13"/>
      <c r="K17" s="13"/>
      <c r="L17" s="13"/>
      <c r="M17" s="13"/>
      <c r="N17" s="13"/>
      <c r="O17" s="13"/>
      <c r="P17" s="13"/>
    </row>
    <row r="18" ht="60" customHeight="1" spans="1:16">
      <c r="A18" s="10" t="s">
        <v>197</v>
      </c>
      <c r="B18" s="11">
        <v>160</v>
      </c>
      <c r="C18" s="15" t="s">
        <v>198</v>
      </c>
      <c r="D18" s="13">
        <v>160</v>
      </c>
      <c r="E18" s="13">
        <f t="shared" si="6"/>
        <v>0</v>
      </c>
      <c r="F18" s="13">
        <f t="shared" si="1"/>
        <v>100</v>
      </c>
      <c r="G18" s="14">
        <f t="shared" si="7"/>
        <v>160</v>
      </c>
      <c r="H18" s="14">
        <f t="shared" si="2"/>
        <v>0</v>
      </c>
      <c r="I18" s="13"/>
      <c r="J18" s="13"/>
      <c r="K18" s="13"/>
      <c r="L18" s="13"/>
      <c r="M18" s="13"/>
      <c r="N18" s="13"/>
      <c r="O18" s="13"/>
      <c r="P18" s="13">
        <v>160</v>
      </c>
    </row>
  </sheetData>
  <mergeCells count="14">
    <mergeCell ref="A1:P1"/>
    <mergeCell ref="C2:K2"/>
    <mergeCell ref="O2:P2"/>
    <mergeCell ref="G3:P3"/>
    <mergeCell ref="H4:N4"/>
    <mergeCell ref="A3:A5"/>
    <mergeCell ref="B3:B5"/>
    <mergeCell ref="C3:C5"/>
    <mergeCell ref="D3:D5"/>
    <mergeCell ref="E3:E5"/>
    <mergeCell ref="F3:F5"/>
    <mergeCell ref="G4:G5"/>
    <mergeCell ref="O4:O5"/>
    <mergeCell ref="P4:P5"/>
  </mergeCells>
  <pageMargins left="0.609027777777778" right="0.354166666666667" top="0.393055555555556" bottom="0.196527777777778" header="0.511805555555556" footer="0.511805555555556"/>
  <pageSetup paperSize="9" scale="52" fitToHeight="0" orientation="landscape" horizontalDpi="600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N14" sqref="N14"/>
    </sheetView>
  </sheetViews>
  <sheetFormatPr defaultColWidth="8.66666666666667" defaultRowHeight="14.25"/>
  <cols>
    <col min="1" max="1" width="19.6666666666667" style="29" customWidth="1"/>
    <col min="2" max="2" width="11.1666666666667" style="29" customWidth="1"/>
    <col min="3" max="3" width="26.8333333333333" style="29" customWidth="1"/>
    <col min="4" max="4" width="10.75" style="29" customWidth="1"/>
    <col min="5" max="5" width="9.91666666666667" style="29" customWidth="1"/>
    <col min="6" max="6" width="9.75" style="29"/>
    <col min="7" max="7" width="9.75" style="29" hidden="1" customWidth="1"/>
    <col min="8" max="8" width="10.5" style="29" hidden="1" customWidth="1"/>
    <col min="9" max="9" width="11.0833333333333" style="29" hidden="1" customWidth="1"/>
    <col min="10" max="16384" width="8.66666666666667" style="29"/>
  </cols>
  <sheetData>
    <row r="1" ht="27" spans="1:9">
      <c r="A1" s="1" t="s">
        <v>133</v>
      </c>
      <c r="B1" s="1"/>
      <c r="C1" s="1"/>
      <c r="D1" s="1"/>
      <c r="E1" s="1"/>
      <c r="F1" s="1"/>
      <c r="G1" s="1"/>
      <c r="H1" s="1"/>
      <c r="I1" s="1"/>
    </row>
    <row r="2" s="26" customFormat="1" ht="20" customHeight="1" spans="1:9">
      <c r="A2" s="88" t="s">
        <v>118</v>
      </c>
      <c r="B2" s="88"/>
      <c r="C2" s="144">
        <v>43819</v>
      </c>
      <c r="D2" s="144"/>
      <c r="E2" s="145" t="s">
        <v>3</v>
      </c>
      <c r="F2" s="146"/>
      <c r="G2" s="146" t="s">
        <v>3</v>
      </c>
      <c r="H2" s="146"/>
      <c r="I2" s="146"/>
    </row>
    <row r="3" ht="23" customHeight="1" spans="1:9">
      <c r="A3" s="147" t="s">
        <v>134</v>
      </c>
      <c r="B3" s="148" t="s">
        <v>135</v>
      </c>
      <c r="C3" s="148" t="s">
        <v>62</v>
      </c>
      <c r="D3" s="149" t="s">
        <v>136</v>
      </c>
      <c r="E3" s="149" t="s">
        <v>137</v>
      </c>
      <c r="F3" s="149" t="s">
        <v>7</v>
      </c>
      <c r="G3" s="148" t="s">
        <v>239</v>
      </c>
      <c r="H3" s="148"/>
      <c r="I3" s="170" t="s">
        <v>240</v>
      </c>
    </row>
    <row r="4" ht="19" customHeight="1" spans="1:9">
      <c r="A4" s="150"/>
      <c r="B4" s="151"/>
      <c r="C4" s="151"/>
      <c r="D4" s="152"/>
      <c r="E4" s="152"/>
      <c r="F4" s="152"/>
      <c r="G4" s="151" t="s">
        <v>241</v>
      </c>
      <c r="H4" s="151" t="s">
        <v>242</v>
      </c>
      <c r="I4" s="171"/>
    </row>
    <row r="5" ht="23" customHeight="1" spans="1:9">
      <c r="A5" s="150" t="s">
        <v>138</v>
      </c>
      <c r="B5" s="153">
        <f>SUM(B6,B12,B16,B19,B24,B27,B30)</f>
        <v>21972.5</v>
      </c>
      <c r="C5" s="153"/>
      <c r="D5" s="118">
        <f t="shared" ref="D5:H5" si="0">SUM(D6,D12,D16,D19,D24,D27,D30)</f>
        <v>21328.719292</v>
      </c>
      <c r="E5" s="118">
        <f t="shared" si="0"/>
        <v>643.780708</v>
      </c>
      <c r="F5" s="154">
        <f t="shared" ref="F5:F32" si="1">D5/B5*100</f>
        <v>97.0700616315849</v>
      </c>
      <c r="G5" s="155"/>
      <c r="H5" s="118">
        <f t="shared" si="0"/>
        <v>1123.9676</v>
      </c>
      <c r="I5" s="172">
        <f t="shared" ref="I5:I32" si="2">(D5+H5)/B5*100</f>
        <v>102.185399440209</v>
      </c>
    </row>
    <row r="6" ht="23" customHeight="1" spans="1:9">
      <c r="A6" s="156" t="s">
        <v>243</v>
      </c>
      <c r="B6" s="157">
        <f>SUM(B7:B11)</f>
        <v>10221.5</v>
      </c>
      <c r="C6" s="157"/>
      <c r="D6" s="127">
        <f t="shared" ref="D6:H6" si="3">SUM(D7:D11)</f>
        <v>10221.5</v>
      </c>
      <c r="E6" s="127">
        <f t="shared" si="3"/>
        <v>0</v>
      </c>
      <c r="F6" s="127">
        <f t="shared" si="1"/>
        <v>100</v>
      </c>
      <c r="G6" s="155"/>
      <c r="H6" s="127">
        <f t="shared" si="3"/>
        <v>3</v>
      </c>
      <c r="I6" s="172">
        <f t="shared" si="2"/>
        <v>100.029349899721</v>
      </c>
    </row>
    <row r="7" ht="23" customHeight="1" spans="1:9">
      <c r="A7" s="158" t="s">
        <v>244</v>
      </c>
      <c r="B7" s="157">
        <f>4631+22+60</f>
        <v>4713</v>
      </c>
      <c r="C7" s="159" t="s">
        <v>245</v>
      </c>
      <c r="D7" s="127">
        <f>49.64+4653+6.7005+3.6595</f>
        <v>4713</v>
      </c>
      <c r="E7" s="127">
        <f t="shared" ref="E7:E11" si="4">B7-D7</f>
        <v>0</v>
      </c>
      <c r="F7" s="127">
        <f t="shared" si="1"/>
        <v>100</v>
      </c>
      <c r="G7" s="160">
        <v>43795</v>
      </c>
      <c r="H7" s="161">
        <v>3</v>
      </c>
      <c r="I7" s="172">
        <f t="shared" si="2"/>
        <v>100.063653723743</v>
      </c>
    </row>
    <row r="8" ht="23" customHeight="1" spans="1:9">
      <c r="A8" s="158" t="s">
        <v>246</v>
      </c>
      <c r="B8" s="157">
        <f>775+2855</f>
        <v>3630</v>
      </c>
      <c r="C8" s="159" t="s">
        <v>175</v>
      </c>
      <c r="D8" s="127">
        <f>775+2855</f>
        <v>3630</v>
      </c>
      <c r="E8" s="127">
        <f t="shared" si="4"/>
        <v>0</v>
      </c>
      <c r="F8" s="127">
        <f t="shared" si="1"/>
        <v>100</v>
      </c>
      <c r="G8" s="161"/>
      <c r="H8" s="161"/>
      <c r="I8" s="172">
        <f t="shared" si="2"/>
        <v>100</v>
      </c>
    </row>
    <row r="9" ht="23" customHeight="1" spans="1:9">
      <c r="A9" s="158" t="s">
        <v>247</v>
      </c>
      <c r="B9" s="157">
        <f>500+1338.5</f>
        <v>1838.5</v>
      </c>
      <c r="C9" s="159" t="s">
        <v>164</v>
      </c>
      <c r="D9" s="127">
        <f>500+1338.5</f>
        <v>1838.5</v>
      </c>
      <c r="E9" s="127">
        <f t="shared" si="4"/>
        <v>0</v>
      </c>
      <c r="F9" s="127">
        <f t="shared" si="1"/>
        <v>100</v>
      </c>
      <c r="G9" s="161"/>
      <c r="H9" s="161"/>
      <c r="I9" s="172">
        <f t="shared" si="2"/>
        <v>100</v>
      </c>
    </row>
    <row r="10" ht="23" customHeight="1" spans="1:9">
      <c r="A10" s="158" t="s">
        <v>248</v>
      </c>
      <c r="B10" s="157">
        <v>20</v>
      </c>
      <c r="C10" s="159" t="s">
        <v>187</v>
      </c>
      <c r="D10" s="127">
        <v>20</v>
      </c>
      <c r="E10" s="127">
        <f t="shared" si="4"/>
        <v>0</v>
      </c>
      <c r="F10" s="127">
        <f t="shared" si="1"/>
        <v>100</v>
      </c>
      <c r="G10" s="161"/>
      <c r="H10" s="161"/>
      <c r="I10" s="172">
        <f t="shared" si="2"/>
        <v>100</v>
      </c>
    </row>
    <row r="11" ht="23" customHeight="1" spans="1:9">
      <c r="A11" s="158" t="s">
        <v>249</v>
      </c>
      <c r="B11" s="157">
        <v>20</v>
      </c>
      <c r="C11" s="159" t="s">
        <v>176</v>
      </c>
      <c r="D11" s="127">
        <f>15+5</f>
        <v>20</v>
      </c>
      <c r="E11" s="127">
        <f t="shared" si="4"/>
        <v>0</v>
      </c>
      <c r="F11" s="127">
        <f t="shared" si="1"/>
        <v>100</v>
      </c>
      <c r="G11" s="160"/>
      <c r="H11" s="161"/>
      <c r="I11" s="172">
        <f t="shared" si="2"/>
        <v>100</v>
      </c>
    </row>
    <row r="12" ht="23" customHeight="1" spans="1:9">
      <c r="A12" s="156" t="s">
        <v>250</v>
      </c>
      <c r="B12" s="157">
        <f>SUM(B13:B15)</f>
        <v>2128.7</v>
      </c>
      <c r="C12" s="159"/>
      <c r="D12" s="127">
        <f t="shared" ref="D12:H12" si="5">SUM(D13:D15)</f>
        <v>2128.7</v>
      </c>
      <c r="E12" s="127">
        <f t="shared" si="5"/>
        <v>0</v>
      </c>
      <c r="F12" s="127">
        <f t="shared" si="1"/>
        <v>100</v>
      </c>
      <c r="G12" s="161"/>
      <c r="H12" s="162">
        <f t="shared" si="5"/>
        <v>631.7</v>
      </c>
      <c r="I12" s="172">
        <f t="shared" si="2"/>
        <v>129.675388734909</v>
      </c>
    </row>
    <row r="13" ht="23" customHeight="1" spans="1:9">
      <c r="A13" s="158" t="s">
        <v>251</v>
      </c>
      <c r="B13" s="157">
        <v>168</v>
      </c>
      <c r="C13" s="159" t="s">
        <v>149</v>
      </c>
      <c r="D13" s="127">
        <v>168</v>
      </c>
      <c r="E13" s="127">
        <f t="shared" ref="E13:E15" si="6">B13-D13</f>
        <v>0</v>
      </c>
      <c r="F13" s="127">
        <f t="shared" si="1"/>
        <v>100</v>
      </c>
      <c r="G13" s="161"/>
      <c r="H13" s="161"/>
      <c r="I13" s="172">
        <f t="shared" si="2"/>
        <v>100</v>
      </c>
    </row>
    <row r="14" ht="23" customHeight="1" spans="1:9">
      <c r="A14" s="158" t="s">
        <v>252</v>
      </c>
      <c r="B14" s="157">
        <v>1329</v>
      </c>
      <c r="C14" s="159" t="s">
        <v>174</v>
      </c>
      <c r="D14" s="127">
        <v>1329</v>
      </c>
      <c r="E14" s="127">
        <f t="shared" si="6"/>
        <v>0</v>
      </c>
      <c r="F14" s="127">
        <f t="shared" si="1"/>
        <v>100</v>
      </c>
      <c r="G14" s="161"/>
      <c r="H14" s="161"/>
      <c r="I14" s="172">
        <f t="shared" si="2"/>
        <v>100</v>
      </c>
    </row>
    <row r="15" ht="23" customHeight="1" spans="1:9">
      <c r="A15" s="158" t="s">
        <v>253</v>
      </c>
      <c r="B15" s="157">
        <v>631.7</v>
      </c>
      <c r="C15" s="159" t="s">
        <v>215</v>
      </c>
      <c r="D15" s="127">
        <f>626.72+4.98</f>
        <v>631.7</v>
      </c>
      <c r="E15" s="127">
        <f t="shared" si="6"/>
        <v>0</v>
      </c>
      <c r="F15" s="127">
        <f t="shared" si="1"/>
        <v>100</v>
      </c>
      <c r="G15" s="160">
        <v>43795</v>
      </c>
      <c r="H15" s="161">
        <v>631.7</v>
      </c>
      <c r="I15" s="172">
        <f t="shared" si="2"/>
        <v>200</v>
      </c>
    </row>
    <row r="16" ht="23" customHeight="1" spans="1:9">
      <c r="A16" s="156" t="s">
        <v>254</v>
      </c>
      <c r="B16" s="157">
        <f>SUM(B17:B18)</f>
        <v>2625</v>
      </c>
      <c r="C16" s="159"/>
      <c r="D16" s="127">
        <f>SUM(D17:D18)</f>
        <v>2014.715664</v>
      </c>
      <c r="E16" s="127">
        <f>SUM(E17:E18)</f>
        <v>610.284336</v>
      </c>
      <c r="F16" s="127">
        <f t="shared" si="1"/>
        <v>76.7510729142857</v>
      </c>
      <c r="G16" s="161"/>
      <c r="H16" s="161">
        <v>447.72</v>
      </c>
      <c r="I16" s="172">
        <f t="shared" si="2"/>
        <v>93.8070729142857</v>
      </c>
    </row>
    <row r="17" ht="23" customHeight="1" spans="1:9">
      <c r="A17" s="158" t="s">
        <v>255</v>
      </c>
      <c r="B17" s="157">
        <v>2058</v>
      </c>
      <c r="C17" s="159" t="s">
        <v>153</v>
      </c>
      <c r="D17" s="127">
        <f>1000+447.715664</f>
        <v>1447.715664</v>
      </c>
      <c r="E17" s="127">
        <f t="shared" ref="E17:E28" si="7">B17-D17</f>
        <v>610.284336</v>
      </c>
      <c r="F17" s="127">
        <f t="shared" si="1"/>
        <v>70.3457562682216</v>
      </c>
      <c r="G17" s="160">
        <v>43795</v>
      </c>
      <c r="H17" s="161">
        <v>447.72</v>
      </c>
      <c r="I17" s="172">
        <f t="shared" si="2"/>
        <v>92.1008583090379</v>
      </c>
    </row>
    <row r="18" ht="23" customHeight="1" spans="1:9">
      <c r="A18" s="158" t="s">
        <v>256</v>
      </c>
      <c r="B18" s="157">
        <v>567</v>
      </c>
      <c r="C18" s="159" t="s">
        <v>155</v>
      </c>
      <c r="D18" s="127">
        <v>567</v>
      </c>
      <c r="E18" s="127">
        <f t="shared" si="7"/>
        <v>0</v>
      </c>
      <c r="F18" s="127">
        <f t="shared" si="1"/>
        <v>100</v>
      </c>
      <c r="G18" s="161"/>
      <c r="H18" s="161"/>
      <c r="I18" s="172">
        <f t="shared" si="2"/>
        <v>100</v>
      </c>
    </row>
    <row r="19" ht="23" customHeight="1" spans="1:9">
      <c r="A19" s="156" t="s">
        <v>257</v>
      </c>
      <c r="B19" s="157">
        <f>SUM(B20:B23)</f>
        <v>1167.34</v>
      </c>
      <c r="C19" s="159"/>
      <c r="D19" s="127">
        <f t="shared" ref="D19:H19" si="8">SUM(D20:D23)</f>
        <v>1163.6019</v>
      </c>
      <c r="E19" s="127">
        <f t="shared" si="8"/>
        <v>3.73809999999997</v>
      </c>
      <c r="F19" s="127">
        <f t="shared" si="1"/>
        <v>99.6797762434252</v>
      </c>
      <c r="G19" s="161"/>
      <c r="H19" s="163">
        <f t="shared" si="8"/>
        <v>41.5476</v>
      </c>
      <c r="I19" s="172">
        <f t="shared" si="2"/>
        <v>103.238944951771</v>
      </c>
    </row>
    <row r="20" ht="23" customHeight="1" spans="1:9">
      <c r="A20" s="158" t="s">
        <v>258</v>
      </c>
      <c r="B20" s="157">
        <v>154</v>
      </c>
      <c r="C20" s="159" t="s">
        <v>153</v>
      </c>
      <c r="D20" s="127">
        <f>95.96+58.04</f>
        <v>154</v>
      </c>
      <c r="E20" s="127">
        <f t="shared" si="7"/>
        <v>0</v>
      </c>
      <c r="F20" s="127">
        <f t="shared" si="1"/>
        <v>100</v>
      </c>
      <c r="G20" s="160"/>
      <c r="H20" s="161"/>
      <c r="I20" s="172">
        <f t="shared" si="2"/>
        <v>100</v>
      </c>
    </row>
    <row r="21" ht="23" customHeight="1" spans="1:9">
      <c r="A21" s="158" t="s">
        <v>259</v>
      </c>
      <c r="B21" s="157">
        <v>80</v>
      </c>
      <c r="C21" s="159" t="s">
        <v>260</v>
      </c>
      <c r="D21" s="127">
        <v>80</v>
      </c>
      <c r="E21" s="127">
        <f t="shared" si="7"/>
        <v>0</v>
      </c>
      <c r="F21" s="127">
        <f t="shared" si="1"/>
        <v>100</v>
      </c>
      <c r="G21" s="164"/>
      <c r="H21" s="161"/>
      <c r="I21" s="172">
        <f t="shared" si="2"/>
        <v>100</v>
      </c>
    </row>
    <row r="22" ht="23" customHeight="1" spans="1:9">
      <c r="A22" s="158" t="s">
        <v>261</v>
      </c>
      <c r="B22" s="157">
        <v>321.04</v>
      </c>
      <c r="C22" s="159" t="s">
        <v>178</v>
      </c>
      <c r="D22" s="127">
        <f>40+70.966+16.451+41.5476+86.6612+61.6761</f>
        <v>317.3019</v>
      </c>
      <c r="E22" s="127">
        <f t="shared" si="7"/>
        <v>3.73809999999997</v>
      </c>
      <c r="F22" s="127">
        <f t="shared" si="1"/>
        <v>98.8356279591328</v>
      </c>
      <c r="G22" s="160">
        <v>43795</v>
      </c>
      <c r="H22" s="161">
        <v>41.5476</v>
      </c>
      <c r="I22" s="172">
        <f t="shared" si="2"/>
        <v>111.777192873162</v>
      </c>
    </row>
    <row r="23" ht="23" customHeight="1" spans="1:9">
      <c r="A23" s="158" t="s">
        <v>262</v>
      </c>
      <c r="B23" s="157">
        <f>300+312.3</f>
        <v>612.3</v>
      </c>
      <c r="C23" s="159" t="s">
        <v>263</v>
      </c>
      <c r="D23" s="127">
        <f>300+312.3</f>
        <v>612.3</v>
      </c>
      <c r="E23" s="127">
        <f t="shared" si="7"/>
        <v>0</v>
      </c>
      <c r="F23" s="127">
        <f t="shared" si="1"/>
        <v>100</v>
      </c>
      <c r="G23" s="160"/>
      <c r="H23" s="161"/>
      <c r="I23" s="172">
        <f t="shared" si="2"/>
        <v>100</v>
      </c>
    </row>
    <row r="24" ht="23" customHeight="1" spans="1:9">
      <c r="A24" s="156" t="s">
        <v>264</v>
      </c>
      <c r="B24" s="157">
        <f>SUM(B25:B26)</f>
        <v>3260</v>
      </c>
      <c r="C24" s="159"/>
      <c r="D24" s="127">
        <f>SUM(D25:D26)</f>
        <v>3230.241728</v>
      </c>
      <c r="E24" s="127">
        <f t="shared" si="7"/>
        <v>29.758272</v>
      </c>
      <c r="F24" s="127">
        <f t="shared" si="1"/>
        <v>99.0871695705521</v>
      </c>
      <c r="G24" s="161"/>
      <c r="H24" s="162">
        <f>SUM(H25:H26)</f>
        <v>0</v>
      </c>
      <c r="I24" s="172">
        <f t="shared" si="2"/>
        <v>99.0871695705521</v>
      </c>
    </row>
    <row r="25" ht="23" customHeight="1" spans="1:9">
      <c r="A25" s="158" t="s">
        <v>265</v>
      </c>
      <c r="B25" s="157">
        <f>387+2669+204-387</f>
        <v>2873</v>
      </c>
      <c r="C25" s="159" t="s">
        <v>266</v>
      </c>
      <c r="D25" s="127">
        <v>2873</v>
      </c>
      <c r="E25" s="127">
        <f t="shared" si="7"/>
        <v>0</v>
      </c>
      <c r="F25" s="127">
        <f t="shared" si="1"/>
        <v>100</v>
      </c>
      <c r="G25" s="161"/>
      <c r="H25" s="161"/>
      <c r="I25" s="172">
        <f t="shared" si="2"/>
        <v>100</v>
      </c>
    </row>
    <row r="26" ht="23" customHeight="1" spans="1:9">
      <c r="A26" s="158" t="s">
        <v>267</v>
      </c>
      <c r="B26" s="157">
        <v>387</v>
      </c>
      <c r="C26" s="159" t="s">
        <v>268</v>
      </c>
      <c r="D26" s="127">
        <f>287.07+70.171728</f>
        <v>357.241728</v>
      </c>
      <c r="E26" s="127">
        <f t="shared" si="7"/>
        <v>29.758272</v>
      </c>
      <c r="F26" s="127">
        <f t="shared" si="1"/>
        <v>92.3105240310077</v>
      </c>
      <c r="G26" s="160"/>
      <c r="H26" s="161"/>
      <c r="I26" s="172">
        <f t="shared" si="2"/>
        <v>92.3105240310077</v>
      </c>
    </row>
    <row r="27" ht="23" customHeight="1" spans="1:9">
      <c r="A27" s="156" t="s">
        <v>269</v>
      </c>
      <c r="B27" s="157">
        <f>SUM(B28:B29)</f>
        <v>542.7</v>
      </c>
      <c r="C27" s="159"/>
      <c r="D27" s="127">
        <f>SUM(D28:D29)</f>
        <v>542.7</v>
      </c>
      <c r="E27" s="127">
        <f t="shared" si="7"/>
        <v>0</v>
      </c>
      <c r="F27" s="127">
        <f t="shared" si="1"/>
        <v>100</v>
      </c>
      <c r="G27" s="161"/>
      <c r="H27" s="127">
        <f>SUM(H28:H29)</f>
        <v>0</v>
      </c>
      <c r="I27" s="172">
        <f t="shared" si="2"/>
        <v>100</v>
      </c>
    </row>
    <row r="28" ht="23" customHeight="1" spans="1:9">
      <c r="A28" s="158" t="s">
        <v>270</v>
      </c>
      <c r="B28" s="157">
        <f>20+520</f>
        <v>540</v>
      </c>
      <c r="C28" s="159" t="s">
        <v>163</v>
      </c>
      <c r="D28" s="127">
        <f>520+20</f>
        <v>540</v>
      </c>
      <c r="E28" s="127">
        <f t="shared" si="7"/>
        <v>0</v>
      </c>
      <c r="F28" s="127">
        <f t="shared" si="1"/>
        <v>100</v>
      </c>
      <c r="G28" s="161"/>
      <c r="H28" s="161"/>
      <c r="I28" s="172">
        <f t="shared" si="2"/>
        <v>100</v>
      </c>
    </row>
    <row r="29" ht="23" customHeight="1" spans="1:9">
      <c r="A29" s="158" t="s">
        <v>271</v>
      </c>
      <c r="B29" s="157">
        <v>2.7</v>
      </c>
      <c r="C29" s="159" t="s">
        <v>272</v>
      </c>
      <c r="D29" s="127">
        <v>2.7</v>
      </c>
      <c r="E29" s="127"/>
      <c r="F29" s="127">
        <f t="shared" si="1"/>
        <v>100</v>
      </c>
      <c r="G29" s="161"/>
      <c r="H29" s="161"/>
      <c r="I29" s="172">
        <f t="shared" si="2"/>
        <v>100</v>
      </c>
    </row>
    <row r="30" ht="23" customHeight="1" spans="1:9">
      <c r="A30" s="156" t="s">
        <v>273</v>
      </c>
      <c r="B30" s="157">
        <f>SUM(B31:B32)</f>
        <v>2027.26</v>
      </c>
      <c r="C30" s="159"/>
      <c r="D30" s="127">
        <f>SUM(D31:D32)</f>
        <v>2027.26</v>
      </c>
      <c r="E30" s="127">
        <f t="shared" ref="E30:E32" si="9">B30-D30</f>
        <v>0</v>
      </c>
      <c r="F30" s="127">
        <f t="shared" si="1"/>
        <v>100</v>
      </c>
      <c r="G30" s="161"/>
      <c r="H30" s="161"/>
      <c r="I30" s="172">
        <f t="shared" si="2"/>
        <v>100</v>
      </c>
    </row>
    <row r="31" ht="23" customHeight="1" spans="1:9">
      <c r="A31" s="158" t="s">
        <v>274</v>
      </c>
      <c r="B31" s="157">
        <v>1000</v>
      </c>
      <c r="C31" s="165" t="s">
        <v>177</v>
      </c>
      <c r="D31" s="127">
        <v>1000</v>
      </c>
      <c r="E31" s="127">
        <f t="shared" si="9"/>
        <v>0</v>
      </c>
      <c r="F31" s="127">
        <f t="shared" si="1"/>
        <v>100</v>
      </c>
      <c r="G31" s="161"/>
      <c r="H31" s="161"/>
      <c r="I31" s="172">
        <f t="shared" si="2"/>
        <v>100</v>
      </c>
    </row>
    <row r="32" ht="23" customHeight="1" spans="1:9">
      <c r="A32" s="166" t="s">
        <v>275</v>
      </c>
      <c r="B32" s="167">
        <v>1027.26</v>
      </c>
      <c r="C32" s="168" t="s">
        <v>276</v>
      </c>
      <c r="D32" s="136">
        <f>617.17+410.09</f>
        <v>1027.26</v>
      </c>
      <c r="E32" s="136">
        <f t="shared" si="9"/>
        <v>0</v>
      </c>
      <c r="F32" s="136">
        <f t="shared" si="1"/>
        <v>100</v>
      </c>
      <c r="G32" s="169"/>
      <c r="H32" s="169"/>
      <c r="I32" s="173">
        <f t="shared" si="2"/>
        <v>100</v>
      </c>
    </row>
  </sheetData>
  <mergeCells count="11">
    <mergeCell ref="A1:I1"/>
    <mergeCell ref="A2:B2"/>
    <mergeCell ref="E2:F2"/>
    <mergeCell ref="G3:H3"/>
    <mergeCell ref="A3:A4"/>
    <mergeCell ref="B3:B4"/>
    <mergeCell ref="C3:C4"/>
    <mergeCell ref="D3:D4"/>
    <mergeCell ref="E3:E4"/>
    <mergeCell ref="F3:F4"/>
    <mergeCell ref="I3:I4"/>
  </mergeCells>
  <pageMargins left="0.55" right="0.511805555555556" top="0.747916666666667" bottom="0.629166666666667" header="0.5" footer="0.5"/>
  <pageSetup paperSize="9" scale="98" fitToHeight="0" orientation="portrait" horizontalDpi="600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showZeros="0" view="pageBreakPreview" zoomScaleNormal="100" topLeftCell="A16" workbookViewId="0">
      <selection activeCell="N14" sqref="N14"/>
    </sheetView>
  </sheetViews>
  <sheetFormatPr defaultColWidth="8.66666666666667" defaultRowHeight="14.25"/>
  <cols>
    <col min="1" max="1" width="19.25" style="29" customWidth="1"/>
    <col min="2" max="2" width="12.75" style="29" customWidth="1"/>
    <col min="3" max="3" width="25" style="29" customWidth="1"/>
    <col min="4" max="4" width="13.6666666666667" style="29" customWidth="1"/>
    <col min="5" max="5" width="10.625" style="29" customWidth="1"/>
    <col min="6" max="6" width="11.75" style="29" customWidth="1"/>
    <col min="7" max="7" width="9.625" style="29" hidden="1" customWidth="1"/>
    <col min="8" max="8" width="11.875" style="29" hidden="1" customWidth="1"/>
    <col min="9" max="9" width="9.25" style="29" hidden="1" customWidth="1"/>
    <col min="10" max="16384" width="8.66666666666667" style="29"/>
  </cols>
  <sheetData>
    <row r="1" ht="38" customHeight="1" spans="1:9">
      <c r="A1" s="106" t="s">
        <v>277</v>
      </c>
      <c r="B1" s="106"/>
      <c r="C1" s="106"/>
      <c r="D1" s="106"/>
      <c r="E1" s="106"/>
      <c r="F1" s="106"/>
      <c r="G1" s="106"/>
      <c r="H1" s="106"/>
      <c r="I1" s="106"/>
    </row>
    <row r="2" ht="19.5" spans="1:9">
      <c r="A2" s="107" t="s">
        <v>118</v>
      </c>
      <c r="B2" s="107"/>
      <c r="C2" s="108">
        <v>43830</v>
      </c>
      <c r="D2" s="108"/>
      <c r="E2" s="109" t="s">
        <v>3</v>
      </c>
      <c r="F2" s="109"/>
      <c r="G2" s="110" t="s">
        <v>3</v>
      </c>
      <c r="H2" s="110"/>
      <c r="I2" s="110"/>
    </row>
    <row r="3" ht="19" customHeight="1" spans="1:9">
      <c r="A3" s="111" t="s">
        <v>134</v>
      </c>
      <c r="B3" s="112" t="s">
        <v>135</v>
      </c>
      <c r="C3" s="112" t="s">
        <v>62</v>
      </c>
      <c r="D3" s="113" t="s">
        <v>136</v>
      </c>
      <c r="E3" s="113" t="s">
        <v>278</v>
      </c>
      <c r="F3" s="114" t="s">
        <v>7</v>
      </c>
      <c r="G3" s="115" t="s">
        <v>279</v>
      </c>
      <c r="H3" s="116"/>
      <c r="I3" s="142" t="s">
        <v>280</v>
      </c>
    </row>
    <row r="4" ht="13" customHeight="1" spans="1:9">
      <c r="A4" s="117"/>
      <c r="B4" s="118"/>
      <c r="C4" s="118"/>
      <c r="D4" s="119"/>
      <c r="E4" s="119"/>
      <c r="F4" s="120"/>
      <c r="G4" s="121" t="s">
        <v>281</v>
      </c>
      <c r="H4" s="122" t="s">
        <v>242</v>
      </c>
      <c r="I4" s="143"/>
    </row>
    <row r="5" ht="21" customHeight="1" spans="1:9">
      <c r="A5" s="117" t="s">
        <v>138</v>
      </c>
      <c r="B5" s="118">
        <f>SUM(B6,B13,B16,B19,B24,B27,B31,B32,B35)</f>
        <v>31904</v>
      </c>
      <c r="C5" s="118">
        <f t="shared" ref="C5:H5" si="0">SUM(C6,C13,C16,C19,C24,C27,C31,C32,C35)</f>
        <v>0</v>
      </c>
      <c r="D5" s="118">
        <f t="shared" si="0"/>
        <v>27170.814851</v>
      </c>
      <c r="E5" s="118">
        <f t="shared" si="0"/>
        <v>4733.185149</v>
      </c>
      <c r="F5" s="123">
        <f t="shared" ref="F5:F37" si="1">D5/B5*100</f>
        <v>85.1642892772066</v>
      </c>
      <c r="G5" s="124"/>
      <c r="H5" s="125">
        <f t="shared" si="0"/>
        <v>1114.930865</v>
      </c>
      <c r="I5" s="123">
        <f t="shared" ref="I5:I36" si="2">(D5+H5)/B5*100</f>
        <v>88.6589321589769</v>
      </c>
    </row>
    <row r="6" ht="21" customHeight="1" spans="1:9">
      <c r="A6" s="126" t="s">
        <v>243</v>
      </c>
      <c r="B6" s="127">
        <f>SUM(B7:B12)</f>
        <v>15428.4917</v>
      </c>
      <c r="C6" s="127"/>
      <c r="D6" s="127">
        <f>SUM(D7:D11)</f>
        <v>12421.4917</v>
      </c>
      <c r="E6" s="127">
        <f>SUM(E7:E12)</f>
        <v>3007</v>
      </c>
      <c r="F6" s="128">
        <f t="shared" si="1"/>
        <v>80.5100844692421</v>
      </c>
      <c r="G6" s="124"/>
      <c r="H6" s="129">
        <f>SUM(H7:H11)</f>
        <v>3</v>
      </c>
      <c r="I6" s="123">
        <f t="shared" si="2"/>
        <v>80.529529014168</v>
      </c>
    </row>
    <row r="7" ht="21" customHeight="1" spans="1:9">
      <c r="A7" s="130" t="s">
        <v>244</v>
      </c>
      <c r="B7" s="127">
        <f>4631+22+60+1351.5917+207.9+38</f>
        <v>6310.4917</v>
      </c>
      <c r="C7" s="131" t="s">
        <v>245</v>
      </c>
      <c r="D7" s="127">
        <f>49.64+4653+1351.3+207.9+6.7005+0.2925+3.6587+38</f>
        <v>6310.4917</v>
      </c>
      <c r="E7" s="127">
        <f t="shared" ref="E7:E12" si="3">B7-D7</f>
        <v>0</v>
      </c>
      <c r="F7" s="128">
        <f t="shared" si="1"/>
        <v>100</v>
      </c>
      <c r="G7" s="132">
        <v>43795</v>
      </c>
      <c r="H7" s="133">
        <v>3</v>
      </c>
      <c r="I7" s="123">
        <f t="shared" si="2"/>
        <v>100.047539877122</v>
      </c>
    </row>
    <row r="8" ht="21" customHeight="1" spans="1:9">
      <c r="A8" s="130" t="s">
        <v>246</v>
      </c>
      <c r="B8" s="127">
        <f>775+2855+226.5</f>
        <v>3856.5</v>
      </c>
      <c r="C8" s="131" t="s">
        <v>175</v>
      </c>
      <c r="D8" s="127">
        <f>775+2855+226.5</f>
        <v>3856.5</v>
      </c>
      <c r="E8" s="127">
        <f t="shared" si="3"/>
        <v>0</v>
      </c>
      <c r="F8" s="128">
        <f t="shared" si="1"/>
        <v>100</v>
      </c>
      <c r="G8" s="134"/>
      <c r="H8" s="133"/>
      <c r="I8" s="123">
        <f t="shared" si="2"/>
        <v>100</v>
      </c>
    </row>
    <row r="9" ht="21" customHeight="1" spans="1:9">
      <c r="A9" s="130" t="s">
        <v>247</v>
      </c>
      <c r="B9" s="127">
        <f>500+1338.5</f>
        <v>1838.5</v>
      </c>
      <c r="C9" s="131" t="s">
        <v>164</v>
      </c>
      <c r="D9" s="127">
        <f>500+1338.5</f>
        <v>1838.5</v>
      </c>
      <c r="E9" s="127">
        <f t="shared" si="3"/>
        <v>0</v>
      </c>
      <c r="F9" s="128">
        <f t="shared" si="1"/>
        <v>100</v>
      </c>
      <c r="G9" s="134"/>
      <c r="H9" s="133"/>
      <c r="I9" s="123">
        <f t="shared" si="2"/>
        <v>100</v>
      </c>
    </row>
    <row r="10" ht="21" customHeight="1" spans="1:9">
      <c r="A10" s="130" t="s">
        <v>248</v>
      </c>
      <c r="B10" s="127">
        <v>400</v>
      </c>
      <c r="C10" s="131" t="s">
        <v>228</v>
      </c>
      <c r="D10" s="127">
        <v>400</v>
      </c>
      <c r="E10" s="127">
        <f t="shared" si="3"/>
        <v>0</v>
      </c>
      <c r="F10" s="128">
        <f t="shared" si="1"/>
        <v>100</v>
      </c>
      <c r="G10" s="134"/>
      <c r="H10" s="133"/>
      <c r="I10" s="123">
        <f t="shared" si="2"/>
        <v>100</v>
      </c>
    </row>
    <row r="11" ht="21" customHeight="1" spans="1:9">
      <c r="A11" s="130" t="s">
        <v>249</v>
      </c>
      <c r="B11" s="127">
        <v>16</v>
      </c>
      <c r="C11" s="131" t="s">
        <v>229</v>
      </c>
      <c r="D11" s="127">
        <v>16</v>
      </c>
      <c r="E11" s="127">
        <f t="shared" si="3"/>
        <v>0</v>
      </c>
      <c r="F11" s="128">
        <f t="shared" si="1"/>
        <v>100</v>
      </c>
      <c r="G11" s="134"/>
      <c r="H11" s="133"/>
      <c r="I11" s="123">
        <f t="shared" si="2"/>
        <v>100</v>
      </c>
    </row>
    <row r="12" ht="21" customHeight="1" spans="1:9">
      <c r="A12" s="130" t="s">
        <v>282</v>
      </c>
      <c r="B12" s="127">
        <v>3007</v>
      </c>
      <c r="C12" s="131" t="s">
        <v>283</v>
      </c>
      <c r="D12" s="127"/>
      <c r="E12" s="127">
        <f t="shared" si="3"/>
        <v>3007</v>
      </c>
      <c r="F12" s="128">
        <f t="shared" si="1"/>
        <v>0</v>
      </c>
      <c r="G12" s="134"/>
      <c r="H12" s="133"/>
      <c r="I12" s="123">
        <f t="shared" si="2"/>
        <v>0</v>
      </c>
    </row>
    <row r="13" ht="21" customHeight="1" spans="1:9">
      <c r="A13" s="126" t="s">
        <v>250</v>
      </c>
      <c r="B13" s="127">
        <f>SUM(B14:B15)</f>
        <v>3786.7003</v>
      </c>
      <c r="C13" s="127"/>
      <c r="D13" s="127">
        <f>SUM(D14:D15)</f>
        <v>3786.7003</v>
      </c>
      <c r="E13" s="127">
        <f>SUM(E14:E15)</f>
        <v>0</v>
      </c>
      <c r="F13" s="128">
        <f t="shared" si="1"/>
        <v>100</v>
      </c>
      <c r="G13" s="134"/>
      <c r="H13" s="133">
        <v>135.210865</v>
      </c>
      <c r="I13" s="123">
        <f t="shared" si="2"/>
        <v>103.570677748118</v>
      </c>
    </row>
    <row r="14" ht="21" customHeight="1" spans="1:9">
      <c r="A14" s="130" t="s">
        <v>251</v>
      </c>
      <c r="B14" s="127">
        <v>168</v>
      </c>
      <c r="C14" s="131" t="s">
        <v>149</v>
      </c>
      <c r="D14" s="127">
        <v>168</v>
      </c>
      <c r="E14" s="127">
        <f t="shared" ref="E14:E18" si="4">B14-D14</f>
        <v>0</v>
      </c>
      <c r="F14" s="128">
        <f t="shared" si="1"/>
        <v>100</v>
      </c>
      <c r="G14" s="134"/>
      <c r="H14" s="133"/>
      <c r="I14" s="123">
        <f t="shared" si="2"/>
        <v>100</v>
      </c>
    </row>
    <row r="15" ht="21" customHeight="1" spans="1:9">
      <c r="A15" s="130" t="s">
        <v>252</v>
      </c>
      <c r="B15" s="127">
        <f>1329+2289.7003</f>
        <v>3618.7003</v>
      </c>
      <c r="C15" s="131" t="s">
        <v>217</v>
      </c>
      <c r="D15" s="127">
        <f>2085.789135+68.7003+1329+135.210865</f>
        <v>3618.7003</v>
      </c>
      <c r="E15" s="127">
        <f t="shared" si="4"/>
        <v>0</v>
      </c>
      <c r="F15" s="128">
        <f t="shared" si="1"/>
        <v>100</v>
      </c>
      <c r="G15" s="132">
        <v>43795</v>
      </c>
      <c r="H15" s="133">
        <v>135.210865</v>
      </c>
      <c r="I15" s="123">
        <f t="shared" si="2"/>
        <v>103.736448276747</v>
      </c>
    </row>
    <row r="16" ht="21" customHeight="1" spans="1:9">
      <c r="A16" s="126" t="s">
        <v>254</v>
      </c>
      <c r="B16" s="127">
        <f>SUM(B17:B18)</f>
        <v>1999.013264</v>
      </c>
      <c r="C16" s="131"/>
      <c r="D16" s="127">
        <f>SUM(D17:D18)</f>
        <v>1999.013264</v>
      </c>
      <c r="E16" s="127">
        <f>SUM(E17:E18)</f>
        <v>0</v>
      </c>
      <c r="F16" s="128">
        <f t="shared" si="1"/>
        <v>100</v>
      </c>
      <c r="G16" s="134"/>
      <c r="H16" s="129">
        <f>H17+H18</f>
        <v>447.72</v>
      </c>
      <c r="I16" s="123">
        <f t="shared" si="2"/>
        <v>122.397049987758</v>
      </c>
    </row>
    <row r="17" ht="21" customHeight="1" spans="1:9">
      <c r="A17" s="130" t="s">
        <v>255</v>
      </c>
      <c r="B17" s="127">
        <v>1447.715664</v>
      </c>
      <c r="C17" s="131" t="s">
        <v>153</v>
      </c>
      <c r="D17" s="127">
        <f>1000+447.715664</f>
        <v>1447.715664</v>
      </c>
      <c r="E17" s="127">
        <f t="shared" si="4"/>
        <v>0</v>
      </c>
      <c r="F17" s="128">
        <f t="shared" si="1"/>
        <v>100</v>
      </c>
      <c r="G17" s="132">
        <v>43795</v>
      </c>
      <c r="H17" s="133">
        <v>447.72</v>
      </c>
      <c r="I17" s="123">
        <f t="shared" si="2"/>
        <v>130.925962268237</v>
      </c>
    </row>
    <row r="18" ht="21" customHeight="1" spans="1:9">
      <c r="A18" s="130" t="s">
        <v>256</v>
      </c>
      <c r="B18" s="127">
        <f>567-15.7024</f>
        <v>551.2976</v>
      </c>
      <c r="C18" s="131" t="s">
        <v>155</v>
      </c>
      <c r="D18" s="127">
        <f>567-15.7024</f>
        <v>551.2976</v>
      </c>
      <c r="E18" s="127">
        <f t="shared" si="4"/>
        <v>0</v>
      </c>
      <c r="F18" s="128">
        <f t="shared" si="1"/>
        <v>100</v>
      </c>
      <c r="G18" s="134"/>
      <c r="H18" s="133"/>
      <c r="I18" s="123">
        <f t="shared" si="2"/>
        <v>100</v>
      </c>
    </row>
    <row r="19" ht="21" customHeight="1" spans="1:9">
      <c r="A19" s="126" t="s">
        <v>257</v>
      </c>
      <c r="B19" s="127">
        <f>SUM(B20:B23)</f>
        <v>1507.531736</v>
      </c>
      <c r="C19" s="127">
        <f>SUM(C20:C23)</f>
        <v>0</v>
      </c>
      <c r="D19" s="127">
        <f>SUM(D20:D23)</f>
        <v>1484.281736</v>
      </c>
      <c r="E19" s="127">
        <f>SUM(E20:E23)</f>
        <v>23.25</v>
      </c>
      <c r="F19" s="128">
        <f t="shared" si="1"/>
        <v>98.4577439104738</v>
      </c>
      <c r="G19" s="134"/>
      <c r="H19" s="129">
        <f>SUM(H20:H23)</f>
        <v>9</v>
      </c>
      <c r="I19" s="123">
        <f t="shared" si="2"/>
        <v>99.0547462677097</v>
      </c>
    </row>
    <row r="20" ht="21" customHeight="1" spans="1:9">
      <c r="A20" s="130" t="s">
        <v>258</v>
      </c>
      <c r="B20" s="127">
        <f>154+178.1536</f>
        <v>332.1536</v>
      </c>
      <c r="C20" s="131" t="s">
        <v>153</v>
      </c>
      <c r="D20" s="127">
        <f>95.96+58.04+178.1536</f>
        <v>332.1536</v>
      </c>
      <c r="E20" s="127">
        <f>B20-D20</f>
        <v>0</v>
      </c>
      <c r="F20" s="128">
        <f t="shared" si="1"/>
        <v>100</v>
      </c>
      <c r="G20" s="132"/>
      <c r="H20" s="133"/>
      <c r="I20" s="123">
        <f t="shared" si="2"/>
        <v>100</v>
      </c>
    </row>
    <row r="21" ht="21" customHeight="1" spans="1:9">
      <c r="A21" s="130" t="s">
        <v>259</v>
      </c>
      <c r="B21" s="127">
        <f>300+312.3</f>
        <v>612.3</v>
      </c>
      <c r="C21" s="131" t="s">
        <v>263</v>
      </c>
      <c r="D21" s="127">
        <f>300+312.3</f>
        <v>612.3</v>
      </c>
      <c r="E21" s="127">
        <f>B21-D21</f>
        <v>0</v>
      </c>
      <c r="F21" s="128">
        <f t="shared" si="1"/>
        <v>100</v>
      </c>
      <c r="G21" s="132"/>
      <c r="H21" s="133"/>
      <c r="I21" s="123">
        <f t="shared" si="2"/>
        <v>100</v>
      </c>
    </row>
    <row r="22" ht="21" customHeight="1" spans="1:9">
      <c r="A22" s="130" t="s">
        <v>261</v>
      </c>
      <c r="B22" s="127">
        <f>4.245+3.739+394.130736+0.02-3.739+15.7024</f>
        <v>414.098136</v>
      </c>
      <c r="C22" s="131" t="s">
        <v>284</v>
      </c>
      <c r="D22" s="127">
        <f>398.395736+15.7024</f>
        <v>414.098136</v>
      </c>
      <c r="E22" s="127">
        <f>B22-D22</f>
        <v>0</v>
      </c>
      <c r="F22" s="128">
        <f t="shared" si="1"/>
        <v>100</v>
      </c>
      <c r="G22" s="132"/>
      <c r="H22" s="133"/>
      <c r="I22" s="123"/>
    </row>
    <row r="23" ht="21" customHeight="1" spans="1:9">
      <c r="A23" s="130" t="s">
        <v>262</v>
      </c>
      <c r="B23" s="127">
        <f>54.36+94.64-0.02</f>
        <v>148.98</v>
      </c>
      <c r="C23" s="131" t="s">
        <v>285</v>
      </c>
      <c r="D23" s="127">
        <f>59.46+9+57.27</f>
        <v>125.73</v>
      </c>
      <c r="E23" s="127">
        <f t="shared" ref="E23:E37" si="5">B23-D23</f>
        <v>23.25</v>
      </c>
      <c r="F23" s="128">
        <f t="shared" si="1"/>
        <v>84.393878372936</v>
      </c>
      <c r="G23" s="132">
        <v>43795</v>
      </c>
      <c r="H23" s="133">
        <v>9</v>
      </c>
      <c r="I23" s="123">
        <f t="shared" ref="I23:I37" si="6">(D23+H23)/B23*100</f>
        <v>90.4349577124446</v>
      </c>
    </row>
    <row r="24" ht="21" customHeight="1" spans="1:9">
      <c r="A24" s="126" t="s">
        <v>264</v>
      </c>
      <c r="B24" s="127">
        <f>SUM(B25:B26)</f>
        <v>3255.755</v>
      </c>
      <c r="C24" s="131"/>
      <c r="D24" s="127">
        <f>SUM(D25:D26)</f>
        <v>3255.755</v>
      </c>
      <c r="E24" s="127">
        <f t="shared" si="5"/>
        <v>0</v>
      </c>
      <c r="F24" s="128">
        <f t="shared" si="1"/>
        <v>100</v>
      </c>
      <c r="G24" s="134"/>
      <c r="H24" s="129">
        <f>SUM(H25:H26)</f>
        <v>0</v>
      </c>
      <c r="I24" s="123">
        <f t="shared" si="6"/>
        <v>100</v>
      </c>
    </row>
    <row r="25" ht="21" customHeight="1" spans="1:9">
      <c r="A25" s="130" t="s">
        <v>265</v>
      </c>
      <c r="B25" s="127">
        <f>387+2669+204-387</f>
        <v>2873</v>
      </c>
      <c r="C25" s="131" t="s">
        <v>266</v>
      </c>
      <c r="D25" s="127">
        <v>2873</v>
      </c>
      <c r="E25" s="127">
        <f t="shared" si="5"/>
        <v>0</v>
      </c>
      <c r="F25" s="128">
        <f t="shared" si="1"/>
        <v>100</v>
      </c>
      <c r="G25" s="134"/>
      <c r="H25" s="133"/>
      <c r="I25" s="123">
        <f t="shared" si="6"/>
        <v>100</v>
      </c>
    </row>
    <row r="26" ht="21" customHeight="1" spans="1:9">
      <c r="A26" s="130" t="s">
        <v>267</v>
      </c>
      <c r="B26" s="127">
        <v>382.755</v>
      </c>
      <c r="C26" s="131" t="s">
        <v>268</v>
      </c>
      <c r="D26" s="127">
        <v>382.755</v>
      </c>
      <c r="E26" s="127">
        <f t="shared" si="5"/>
        <v>0</v>
      </c>
      <c r="F26" s="128">
        <f t="shared" si="1"/>
        <v>100</v>
      </c>
      <c r="G26" s="132"/>
      <c r="H26" s="129"/>
      <c r="I26" s="123">
        <f t="shared" si="6"/>
        <v>100</v>
      </c>
    </row>
    <row r="27" ht="21" customHeight="1" spans="1:9">
      <c r="A27" s="126" t="s">
        <v>286</v>
      </c>
      <c r="B27" s="127">
        <f>SUM(B28:B30)</f>
        <v>551.7</v>
      </c>
      <c r="C27" s="131"/>
      <c r="D27" s="127">
        <f>SUM(D28:D30)</f>
        <v>551.7</v>
      </c>
      <c r="E27" s="127">
        <f t="shared" si="5"/>
        <v>0</v>
      </c>
      <c r="F27" s="128">
        <f t="shared" si="1"/>
        <v>100</v>
      </c>
      <c r="G27" s="134"/>
      <c r="H27" s="129">
        <f>SUM(H28:H30)</f>
        <v>0</v>
      </c>
      <c r="I27" s="123">
        <f t="shared" si="6"/>
        <v>100</v>
      </c>
    </row>
    <row r="28" ht="21" customHeight="1" spans="1:9">
      <c r="A28" s="130" t="s">
        <v>270</v>
      </c>
      <c r="B28" s="127">
        <f>20+520</f>
        <v>540</v>
      </c>
      <c r="C28" s="131" t="s">
        <v>163</v>
      </c>
      <c r="D28" s="127">
        <f>520+20</f>
        <v>540</v>
      </c>
      <c r="E28" s="127">
        <f t="shared" si="5"/>
        <v>0</v>
      </c>
      <c r="F28" s="128">
        <f t="shared" si="1"/>
        <v>100</v>
      </c>
      <c r="G28" s="134"/>
      <c r="H28" s="133"/>
      <c r="I28" s="123">
        <f t="shared" si="6"/>
        <v>100</v>
      </c>
    </row>
    <row r="29" ht="21" customHeight="1" spans="1:9">
      <c r="A29" s="130" t="s">
        <v>271</v>
      </c>
      <c r="B29" s="127">
        <v>2.7</v>
      </c>
      <c r="C29" s="131" t="s">
        <v>272</v>
      </c>
      <c r="D29" s="127">
        <v>2.7</v>
      </c>
      <c r="E29" s="127">
        <f t="shared" si="5"/>
        <v>0</v>
      </c>
      <c r="F29" s="128">
        <f t="shared" si="1"/>
        <v>100</v>
      </c>
      <c r="G29" s="134"/>
      <c r="H29" s="133"/>
      <c r="I29" s="123">
        <f t="shared" si="6"/>
        <v>100</v>
      </c>
    </row>
    <row r="30" ht="21" customHeight="1" spans="1:9">
      <c r="A30" s="130" t="s">
        <v>287</v>
      </c>
      <c r="B30" s="127">
        <v>9</v>
      </c>
      <c r="C30" s="131" t="s">
        <v>288</v>
      </c>
      <c r="D30" s="127">
        <v>9</v>
      </c>
      <c r="E30" s="127">
        <f t="shared" si="5"/>
        <v>0</v>
      </c>
      <c r="F30" s="128">
        <f t="shared" si="1"/>
        <v>100</v>
      </c>
      <c r="G30" s="134"/>
      <c r="H30" s="133"/>
      <c r="I30" s="123">
        <f t="shared" si="6"/>
        <v>100</v>
      </c>
    </row>
    <row r="31" ht="21" customHeight="1" spans="1:9">
      <c r="A31" s="126" t="s">
        <v>289</v>
      </c>
      <c r="B31" s="127">
        <v>1289.54</v>
      </c>
      <c r="C31" s="131" t="s">
        <v>68</v>
      </c>
      <c r="D31" s="127">
        <v>1289.54</v>
      </c>
      <c r="E31" s="127">
        <f t="shared" si="5"/>
        <v>0</v>
      </c>
      <c r="F31" s="128">
        <f t="shared" si="1"/>
        <v>100</v>
      </c>
      <c r="G31" s="134"/>
      <c r="H31" s="133"/>
      <c r="I31" s="123">
        <f t="shared" si="6"/>
        <v>100</v>
      </c>
    </row>
    <row r="32" ht="21" customHeight="1" spans="1:9">
      <c r="A32" s="126" t="s">
        <v>290</v>
      </c>
      <c r="B32" s="127">
        <f>SUM(B33:B34)</f>
        <v>3036</v>
      </c>
      <c r="C32" s="131"/>
      <c r="D32" s="127">
        <f>SUM(D33:D34)</f>
        <v>1610.811451</v>
      </c>
      <c r="E32" s="127">
        <f t="shared" si="5"/>
        <v>1425.188549</v>
      </c>
      <c r="F32" s="128">
        <f t="shared" si="1"/>
        <v>53.0570306653491</v>
      </c>
      <c r="G32" s="134"/>
      <c r="H32" s="129">
        <f>SUM(H33:H34)</f>
        <v>520</v>
      </c>
      <c r="I32" s="123">
        <f t="shared" si="6"/>
        <v>70.1848304018445</v>
      </c>
    </row>
    <row r="33" ht="21" customHeight="1" spans="1:9">
      <c r="A33" s="130" t="s">
        <v>291</v>
      </c>
      <c r="B33" s="127">
        <v>580</v>
      </c>
      <c r="C33" s="131" t="s">
        <v>292</v>
      </c>
      <c r="D33" s="127">
        <f>125+335+80</f>
        <v>540</v>
      </c>
      <c r="E33" s="127">
        <f t="shared" si="5"/>
        <v>40</v>
      </c>
      <c r="F33" s="128">
        <f t="shared" si="1"/>
        <v>93.1034482758621</v>
      </c>
      <c r="G33" s="134"/>
      <c r="H33" s="133"/>
      <c r="I33" s="123">
        <f t="shared" si="6"/>
        <v>93.1034482758621</v>
      </c>
    </row>
    <row r="34" ht="21" customHeight="1" spans="1:9">
      <c r="A34" s="130" t="s">
        <v>293</v>
      </c>
      <c r="B34" s="127">
        <v>2456</v>
      </c>
      <c r="C34" s="131" t="s">
        <v>294</v>
      </c>
      <c r="D34" s="127">
        <f>520+870.811451-320</f>
        <v>1070.811451</v>
      </c>
      <c r="E34" s="127">
        <f t="shared" si="5"/>
        <v>1385.188549</v>
      </c>
      <c r="F34" s="128">
        <f t="shared" si="1"/>
        <v>43.5998147801303</v>
      </c>
      <c r="G34" s="132">
        <v>43795</v>
      </c>
      <c r="H34" s="133">
        <v>520</v>
      </c>
      <c r="I34" s="123">
        <f t="shared" si="6"/>
        <v>64.7724532166124</v>
      </c>
    </row>
    <row r="35" ht="21" customHeight="1" spans="1:9">
      <c r="A35" s="126" t="s">
        <v>295</v>
      </c>
      <c r="B35" s="127">
        <f>SUM(B36:B37)</f>
        <v>1049.268</v>
      </c>
      <c r="C35" s="131"/>
      <c r="D35" s="127">
        <f>SUM(D36:D37)</f>
        <v>771.5214</v>
      </c>
      <c r="E35" s="127">
        <f t="shared" si="5"/>
        <v>277.7466</v>
      </c>
      <c r="F35" s="128">
        <f t="shared" si="1"/>
        <v>73.5294891295646</v>
      </c>
      <c r="G35" s="134"/>
      <c r="H35" s="129">
        <f>SUM(H36:H37)</f>
        <v>0</v>
      </c>
      <c r="I35" s="123">
        <f t="shared" si="6"/>
        <v>73.5294891295646</v>
      </c>
    </row>
    <row r="36" ht="21" customHeight="1" spans="1:9">
      <c r="A36" s="130" t="s">
        <v>296</v>
      </c>
      <c r="B36" s="127">
        <v>49.268</v>
      </c>
      <c r="C36" s="131" t="s">
        <v>225</v>
      </c>
      <c r="D36" s="127">
        <v>49.268</v>
      </c>
      <c r="E36" s="127">
        <f t="shared" si="5"/>
        <v>0</v>
      </c>
      <c r="F36" s="128">
        <f t="shared" si="1"/>
        <v>100</v>
      </c>
      <c r="G36" s="134"/>
      <c r="H36" s="133"/>
      <c r="I36" s="123">
        <f t="shared" si="6"/>
        <v>100</v>
      </c>
    </row>
    <row r="37" ht="21" customHeight="1" spans="1:9">
      <c r="A37" s="135" t="s">
        <v>297</v>
      </c>
      <c r="B37" s="136">
        <f>600+400</f>
        <v>1000</v>
      </c>
      <c r="C37" s="137" t="s">
        <v>298</v>
      </c>
      <c r="D37" s="136">
        <f>359.7324+362.521</f>
        <v>722.2534</v>
      </c>
      <c r="E37" s="136">
        <f t="shared" si="5"/>
        <v>277.7466</v>
      </c>
      <c r="F37" s="138">
        <f t="shared" si="1"/>
        <v>72.22534</v>
      </c>
      <c r="G37" s="139"/>
      <c r="H37" s="140"/>
      <c r="I37" s="123">
        <f t="shared" si="6"/>
        <v>72.22534</v>
      </c>
    </row>
    <row r="38" ht="47" hidden="1" customHeight="1" spans="1:9">
      <c r="A38" s="141" t="s">
        <v>299</v>
      </c>
      <c r="B38" s="141"/>
      <c r="C38" s="141"/>
      <c r="D38" s="141"/>
      <c r="E38" s="141"/>
      <c r="F38" s="141"/>
      <c r="G38" s="141"/>
      <c r="H38" s="141"/>
      <c r="I38" s="141"/>
    </row>
  </sheetData>
  <mergeCells count="12">
    <mergeCell ref="A1:H1"/>
    <mergeCell ref="A2:B2"/>
    <mergeCell ref="E2:F2"/>
    <mergeCell ref="G3:H3"/>
    <mergeCell ref="A38:H38"/>
    <mergeCell ref="A3:A4"/>
    <mergeCell ref="B3:B4"/>
    <mergeCell ref="C3:C4"/>
    <mergeCell ref="D3:D4"/>
    <mergeCell ref="E3:E4"/>
    <mergeCell ref="F3:F4"/>
    <mergeCell ref="I3:I4"/>
  </mergeCells>
  <pageMargins left="0.55" right="0.393055555555556" top="0.668055555555556" bottom="0.629166666666667" header="0.5" footer="0.5"/>
  <pageSetup paperSize="9" scale="94" fitToHeight="0" orientation="portrait" horizontalDpi="600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Zeros="0" workbookViewId="0">
      <selection activeCell="N14" sqref="N14"/>
    </sheetView>
  </sheetViews>
  <sheetFormatPr defaultColWidth="8.66666666666667" defaultRowHeight="14.25"/>
  <cols>
    <col min="1" max="1" width="20.4166666666667" style="29" customWidth="1"/>
    <col min="2" max="2" width="10.8333333333333" style="29" customWidth="1"/>
    <col min="3" max="5" width="9.375" style="29" customWidth="1"/>
    <col min="6" max="6" width="8.375" style="29" customWidth="1"/>
    <col min="7" max="7" width="9.375" style="29" customWidth="1"/>
    <col min="8" max="9" width="11.125" style="29" customWidth="1"/>
    <col min="10" max="10" width="9.25" style="29" customWidth="1"/>
    <col min="11" max="11" width="9.375" style="29" customWidth="1"/>
    <col min="12" max="12" width="9.25" style="29" customWidth="1"/>
    <col min="13" max="13" width="8.625" style="29" customWidth="1"/>
    <col min="14" max="14" width="11.75" style="29" customWidth="1"/>
    <col min="15" max="15" width="10.75" style="29" customWidth="1"/>
    <col min="16" max="16" width="9.5" style="29" customWidth="1"/>
    <col min="17" max="17" width="10.5" style="29" customWidth="1"/>
    <col min="18" max="19" width="9.5" style="29" customWidth="1"/>
    <col min="20" max="20" width="8.91666666666667" style="29" customWidth="1"/>
    <col min="21" max="16384" width="8.66666666666667" style="29"/>
  </cols>
  <sheetData>
    <row r="1" s="29" customFormat="1" ht="24" customHeight="1" spans="1:20">
      <c r="A1" s="87" t="s">
        <v>300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="29" customFormat="1" ht="30" customHeight="1" spans="1:20">
      <c r="A2" s="88" t="s">
        <v>301</v>
      </c>
      <c r="B2" s="88"/>
      <c r="C2" s="3"/>
      <c r="D2" s="3"/>
      <c r="E2" s="3"/>
      <c r="F2" s="3"/>
      <c r="G2" s="3"/>
      <c r="H2" s="89" t="s">
        <v>302</v>
      </c>
      <c r="I2" s="102"/>
      <c r="J2" s="102"/>
      <c r="K2" s="102"/>
      <c r="L2" s="102"/>
      <c r="M2" s="102"/>
      <c r="N2" s="4"/>
      <c r="O2" s="4"/>
      <c r="P2" s="4"/>
      <c r="Q2" s="4"/>
      <c r="R2" s="4"/>
      <c r="S2" s="4"/>
      <c r="T2" s="105"/>
    </row>
    <row r="3" s="29" customFormat="1" ht="26" customHeight="1" spans="1:20">
      <c r="A3" s="90" t="s">
        <v>134</v>
      </c>
      <c r="B3" s="91" t="s">
        <v>303</v>
      </c>
      <c r="C3" s="92"/>
      <c r="D3" s="92"/>
      <c r="E3" s="92"/>
      <c r="F3" s="92"/>
      <c r="G3" s="93"/>
      <c r="H3" s="94" t="s">
        <v>304</v>
      </c>
      <c r="I3" s="103"/>
      <c r="J3" s="103"/>
      <c r="K3" s="103"/>
      <c r="L3" s="103"/>
      <c r="M3" s="104"/>
      <c r="N3" s="94" t="s">
        <v>305</v>
      </c>
      <c r="O3" s="103"/>
      <c r="P3" s="103"/>
      <c r="Q3" s="103"/>
      <c r="R3" s="103"/>
      <c r="S3" s="104"/>
      <c r="T3" s="95" t="s">
        <v>7</v>
      </c>
    </row>
    <row r="4" s="29" customFormat="1" ht="73" customHeight="1" spans="1:20">
      <c r="A4" s="90"/>
      <c r="B4" s="90" t="s">
        <v>138</v>
      </c>
      <c r="C4" s="95" t="s">
        <v>306</v>
      </c>
      <c r="D4" s="95" t="s">
        <v>307</v>
      </c>
      <c r="E4" s="95" t="s">
        <v>55</v>
      </c>
      <c r="F4" s="95" t="s">
        <v>308</v>
      </c>
      <c r="G4" s="95" t="s">
        <v>309</v>
      </c>
      <c r="H4" s="95" t="s">
        <v>66</v>
      </c>
      <c r="I4" s="95" t="s">
        <v>306</v>
      </c>
      <c r="J4" s="95" t="s">
        <v>310</v>
      </c>
      <c r="K4" s="95" t="s">
        <v>311</v>
      </c>
      <c r="L4" s="95" t="s">
        <v>308</v>
      </c>
      <c r="M4" s="95" t="s">
        <v>309</v>
      </c>
      <c r="N4" s="95" t="s">
        <v>66</v>
      </c>
      <c r="O4" s="95" t="s">
        <v>306</v>
      </c>
      <c r="P4" s="95" t="s">
        <v>310</v>
      </c>
      <c r="Q4" s="95" t="s">
        <v>311</v>
      </c>
      <c r="R4" s="95" t="s">
        <v>308</v>
      </c>
      <c r="S4" s="95" t="s">
        <v>309</v>
      </c>
      <c r="T4" s="95"/>
    </row>
    <row r="5" s="29" customFormat="1" ht="30" customHeight="1" spans="1:20">
      <c r="A5" s="96" t="s">
        <v>312</v>
      </c>
      <c r="B5" s="97">
        <f t="shared" ref="B5:S5" si="0">SUM(B6:B20)</f>
        <v>38881.2</v>
      </c>
      <c r="C5" s="97">
        <f t="shared" si="0"/>
        <v>23635</v>
      </c>
      <c r="D5" s="97">
        <f t="shared" si="0"/>
        <v>8613.2</v>
      </c>
      <c r="E5" s="97">
        <f t="shared" si="0"/>
        <v>4080</v>
      </c>
      <c r="F5" s="97">
        <f t="shared" si="0"/>
        <v>1400</v>
      </c>
      <c r="G5" s="97">
        <f t="shared" si="0"/>
        <v>1153</v>
      </c>
      <c r="H5" s="97">
        <f t="shared" si="0"/>
        <v>35664.063237</v>
      </c>
      <c r="I5" s="97">
        <f t="shared" si="0"/>
        <v>23635</v>
      </c>
      <c r="J5" s="97">
        <f t="shared" si="0"/>
        <v>5730.915</v>
      </c>
      <c r="K5" s="97">
        <f t="shared" si="0"/>
        <v>3775.148237</v>
      </c>
      <c r="L5" s="97">
        <f t="shared" si="0"/>
        <v>1370</v>
      </c>
      <c r="M5" s="97">
        <f t="shared" si="0"/>
        <v>1153</v>
      </c>
      <c r="N5" s="97">
        <f t="shared" si="0"/>
        <v>3217.136763</v>
      </c>
      <c r="O5" s="97">
        <f t="shared" si="0"/>
        <v>0</v>
      </c>
      <c r="P5" s="97">
        <f t="shared" si="0"/>
        <v>2882.285</v>
      </c>
      <c r="Q5" s="97">
        <f t="shared" si="0"/>
        <v>304.851763</v>
      </c>
      <c r="R5" s="97">
        <f t="shared" si="0"/>
        <v>30</v>
      </c>
      <c r="S5" s="97">
        <f t="shared" si="0"/>
        <v>0</v>
      </c>
      <c r="T5" s="97">
        <f t="shared" ref="T5:T20" si="1">H5/B5*100</f>
        <v>91.7257266673868</v>
      </c>
    </row>
    <row r="6" s="29" customFormat="1" ht="30" customHeight="1" spans="1:20">
      <c r="A6" s="98" t="s">
        <v>148</v>
      </c>
      <c r="B6" s="97">
        <f t="shared" ref="B6:B20" si="2">C6+D6+E6+F6+G6</f>
        <v>3704.718237</v>
      </c>
      <c r="C6" s="97">
        <v>2743.1</v>
      </c>
      <c r="D6" s="97">
        <v>162</v>
      </c>
      <c r="E6" s="97">
        <v>22.508237</v>
      </c>
      <c r="F6" s="97"/>
      <c r="G6" s="97">
        <v>777.11</v>
      </c>
      <c r="H6" s="97">
        <f t="shared" ref="H6:H20" si="3">I6+J6+K6+L6+M6</f>
        <v>3704.718237</v>
      </c>
      <c r="I6" s="97">
        <v>2743.1</v>
      </c>
      <c r="J6" s="97">
        <v>162</v>
      </c>
      <c r="K6" s="97">
        <v>22.508237</v>
      </c>
      <c r="L6" s="97"/>
      <c r="M6" s="97">
        <v>777.11</v>
      </c>
      <c r="N6" s="97">
        <f t="shared" ref="N6:N20" si="4">O6+P6+Q6+R6+S6</f>
        <v>0</v>
      </c>
      <c r="O6" s="97">
        <f t="shared" ref="O6:S6" si="5">C6-I6</f>
        <v>0</v>
      </c>
      <c r="P6" s="97">
        <f t="shared" si="5"/>
        <v>0</v>
      </c>
      <c r="Q6" s="97">
        <f t="shared" si="5"/>
        <v>0</v>
      </c>
      <c r="R6" s="97">
        <f t="shared" si="5"/>
        <v>0</v>
      </c>
      <c r="S6" s="97">
        <f t="shared" si="5"/>
        <v>0</v>
      </c>
      <c r="T6" s="97">
        <f t="shared" si="1"/>
        <v>100</v>
      </c>
    </row>
    <row r="7" s="29" customFormat="1" ht="30" customHeight="1" spans="1:20">
      <c r="A7" s="98" t="s">
        <v>150</v>
      </c>
      <c r="B7" s="97">
        <f t="shared" si="2"/>
        <v>17672.9228</v>
      </c>
      <c r="C7" s="97">
        <v>10348.9</v>
      </c>
      <c r="D7" s="97">
        <v>5071.4</v>
      </c>
      <c r="E7" s="97">
        <f>1565+357.6228</f>
        <v>1922.6228</v>
      </c>
      <c r="F7" s="97">
        <f>300+30</f>
        <v>330</v>
      </c>
      <c r="G7" s="97"/>
      <c r="H7" s="97">
        <f t="shared" si="3"/>
        <v>15225.325</v>
      </c>
      <c r="I7" s="97">
        <v>10348.9</v>
      </c>
      <c r="J7" s="97">
        <v>2958.655</v>
      </c>
      <c r="K7" s="97">
        <f>1564.92+52.85</f>
        <v>1617.77</v>
      </c>
      <c r="L7" s="97">
        <v>300</v>
      </c>
      <c r="M7" s="97"/>
      <c r="N7" s="97">
        <f t="shared" si="4"/>
        <v>2447.5978</v>
      </c>
      <c r="O7" s="97">
        <f t="shared" ref="O7:S7" si="6">C7-I7</f>
        <v>0</v>
      </c>
      <c r="P7" s="97">
        <f t="shared" si="6"/>
        <v>2112.745</v>
      </c>
      <c r="Q7" s="97">
        <f t="shared" si="6"/>
        <v>304.8528</v>
      </c>
      <c r="R7" s="97">
        <f t="shared" si="6"/>
        <v>30</v>
      </c>
      <c r="S7" s="97">
        <f t="shared" si="6"/>
        <v>0</v>
      </c>
      <c r="T7" s="97">
        <f t="shared" si="1"/>
        <v>86.1505771982436</v>
      </c>
    </row>
    <row r="8" s="29" customFormat="1" ht="30" customHeight="1" spans="1:20">
      <c r="A8" s="98" t="s">
        <v>152</v>
      </c>
      <c r="B8" s="97">
        <f t="shared" si="2"/>
        <v>1525.35</v>
      </c>
      <c r="C8" s="97">
        <v>1525.35</v>
      </c>
      <c r="D8" s="97"/>
      <c r="E8" s="97"/>
      <c r="F8" s="97"/>
      <c r="G8" s="97"/>
      <c r="H8" s="97">
        <f t="shared" si="3"/>
        <v>1525.35</v>
      </c>
      <c r="I8" s="97">
        <f>1525.35</f>
        <v>1525.35</v>
      </c>
      <c r="J8" s="97"/>
      <c r="K8" s="97"/>
      <c r="L8" s="97"/>
      <c r="M8" s="97"/>
      <c r="N8" s="97">
        <f t="shared" si="4"/>
        <v>0</v>
      </c>
      <c r="O8" s="97">
        <f t="shared" ref="O8:S8" si="7">C8-I8</f>
        <v>0</v>
      </c>
      <c r="P8" s="97">
        <f t="shared" si="7"/>
        <v>0</v>
      </c>
      <c r="Q8" s="97">
        <f t="shared" si="7"/>
        <v>0</v>
      </c>
      <c r="R8" s="97">
        <f t="shared" si="7"/>
        <v>0</v>
      </c>
      <c r="S8" s="97">
        <f t="shared" si="7"/>
        <v>0</v>
      </c>
      <c r="T8" s="97">
        <f t="shared" si="1"/>
        <v>100</v>
      </c>
    </row>
    <row r="9" s="86" customFormat="1" ht="30" customHeight="1" spans="1:20">
      <c r="A9" s="98" t="s">
        <v>36</v>
      </c>
      <c r="B9" s="99">
        <f t="shared" si="2"/>
        <v>4451.85</v>
      </c>
      <c r="C9" s="99">
        <v>4108.85</v>
      </c>
      <c r="D9" s="99">
        <v>343</v>
      </c>
      <c r="E9" s="99"/>
      <c r="F9" s="99"/>
      <c r="G9" s="99"/>
      <c r="H9" s="99">
        <f t="shared" si="3"/>
        <v>4435.8</v>
      </c>
      <c r="I9" s="99">
        <v>4108.85</v>
      </c>
      <c r="J9" s="99">
        <v>326.95</v>
      </c>
      <c r="K9" s="99"/>
      <c r="L9" s="99"/>
      <c r="M9" s="99"/>
      <c r="N9" s="99">
        <f t="shared" si="4"/>
        <v>16.05</v>
      </c>
      <c r="O9" s="99">
        <f t="shared" ref="O9:S9" si="8">C9-I9</f>
        <v>0</v>
      </c>
      <c r="P9" s="99">
        <f t="shared" si="8"/>
        <v>16.05</v>
      </c>
      <c r="Q9" s="99">
        <f t="shared" si="8"/>
        <v>0</v>
      </c>
      <c r="R9" s="99">
        <f t="shared" si="8"/>
        <v>0</v>
      </c>
      <c r="S9" s="99">
        <f t="shared" si="8"/>
        <v>0</v>
      </c>
      <c r="T9" s="99">
        <f t="shared" si="1"/>
        <v>99.6394757235756</v>
      </c>
    </row>
    <row r="10" s="29" customFormat="1" ht="30" customHeight="1" spans="1:20">
      <c r="A10" s="98" t="s">
        <v>224</v>
      </c>
      <c r="B10" s="97">
        <f t="shared" si="2"/>
        <v>915.8</v>
      </c>
      <c r="C10" s="97"/>
      <c r="D10" s="97">
        <v>915.8</v>
      </c>
      <c r="E10" s="97"/>
      <c r="F10" s="97"/>
      <c r="G10" s="97"/>
      <c r="H10" s="97">
        <f t="shared" si="3"/>
        <v>915.8</v>
      </c>
      <c r="I10" s="97"/>
      <c r="J10" s="97">
        <v>915.8</v>
      </c>
      <c r="K10" s="97"/>
      <c r="L10" s="97"/>
      <c r="M10" s="97"/>
      <c r="N10" s="97">
        <f t="shared" si="4"/>
        <v>0</v>
      </c>
      <c r="O10" s="97">
        <f t="shared" ref="O10:S10" si="9">C10-I10</f>
        <v>0</v>
      </c>
      <c r="P10" s="97">
        <f t="shared" si="9"/>
        <v>0</v>
      </c>
      <c r="Q10" s="97">
        <f t="shared" si="9"/>
        <v>0</v>
      </c>
      <c r="R10" s="97">
        <f t="shared" si="9"/>
        <v>0</v>
      </c>
      <c r="S10" s="97">
        <f t="shared" si="9"/>
        <v>0</v>
      </c>
      <c r="T10" s="97">
        <f t="shared" si="1"/>
        <v>100</v>
      </c>
    </row>
    <row r="11" s="29" customFormat="1" ht="30" customHeight="1" spans="1:20">
      <c r="A11" s="98" t="s">
        <v>33</v>
      </c>
      <c r="B11" s="97">
        <f t="shared" si="2"/>
        <v>831.9</v>
      </c>
      <c r="C11" s="97">
        <v>381.9</v>
      </c>
      <c r="D11" s="97"/>
      <c r="E11" s="97">
        <v>50</v>
      </c>
      <c r="F11" s="97">
        <v>400</v>
      </c>
      <c r="G11" s="97"/>
      <c r="H11" s="97">
        <f t="shared" si="3"/>
        <v>831.9</v>
      </c>
      <c r="I11" s="97">
        <v>381.9</v>
      </c>
      <c r="J11" s="97"/>
      <c r="K11" s="97">
        <v>50</v>
      </c>
      <c r="L11" s="97">
        <v>400</v>
      </c>
      <c r="M11" s="97"/>
      <c r="N11" s="97">
        <f t="shared" si="4"/>
        <v>0</v>
      </c>
      <c r="O11" s="97">
        <f t="shared" ref="O11:S11" si="10">C11-I11</f>
        <v>0</v>
      </c>
      <c r="P11" s="97">
        <f t="shared" si="10"/>
        <v>0</v>
      </c>
      <c r="Q11" s="97">
        <f t="shared" si="10"/>
        <v>0</v>
      </c>
      <c r="R11" s="97">
        <f t="shared" si="10"/>
        <v>0</v>
      </c>
      <c r="S11" s="97">
        <f t="shared" si="10"/>
        <v>0</v>
      </c>
      <c r="T11" s="97">
        <f t="shared" si="1"/>
        <v>100</v>
      </c>
    </row>
    <row r="12" s="29" customFormat="1" ht="30" customHeight="1" spans="1:20">
      <c r="A12" s="98" t="s">
        <v>37</v>
      </c>
      <c r="B12" s="97">
        <f t="shared" si="2"/>
        <v>2695.948963</v>
      </c>
      <c r="C12" s="97">
        <v>1878.02</v>
      </c>
      <c r="D12" s="97"/>
      <c r="E12" s="97">
        <v>442.038963</v>
      </c>
      <c r="F12" s="97"/>
      <c r="G12" s="97">
        <v>375.89</v>
      </c>
      <c r="H12" s="97">
        <f t="shared" si="3"/>
        <v>2695.95</v>
      </c>
      <c r="I12" s="97">
        <v>1878.02</v>
      </c>
      <c r="J12" s="97"/>
      <c r="K12" s="97">
        <v>442.04</v>
      </c>
      <c r="L12" s="97"/>
      <c r="M12" s="97">
        <v>375.89</v>
      </c>
      <c r="N12" s="97">
        <f t="shared" si="4"/>
        <v>-0.00103699999999662</v>
      </c>
      <c r="O12" s="97">
        <f t="shared" ref="O12:S12" si="11">C12-I12</f>
        <v>0</v>
      </c>
      <c r="P12" s="97">
        <f t="shared" si="11"/>
        <v>0</v>
      </c>
      <c r="Q12" s="97">
        <f t="shared" si="11"/>
        <v>-0.00103699999999662</v>
      </c>
      <c r="R12" s="97">
        <f t="shared" si="11"/>
        <v>0</v>
      </c>
      <c r="S12" s="97">
        <f t="shared" si="11"/>
        <v>0</v>
      </c>
      <c r="T12" s="97">
        <f t="shared" si="1"/>
        <v>100.00003846512</v>
      </c>
    </row>
    <row r="13" s="29" customFormat="1" ht="30" customHeight="1" spans="1:20">
      <c r="A13" s="98" t="s">
        <v>191</v>
      </c>
      <c r="B13" s="97">
        <f t="shared" si="2"/>
        <v>150</v>
      </c>
      <c r="C13" s="97"/>
      <c r="D13" s="97"/>
      <c r="E13" s="97">
        <v>150</v>
      </c>
      <c r="F13" s="97"/>
      <c r="G13" s="97"/>
      <c r="H13" s="97">
        <f t="shared" si="3"/>
        <v>150</v>
      </c>
      <c r="I13" s="97"/>
      <c r="J13" s="97"/>
      <c r="K13" s="97">
        <f>145.78+4.22</f>
        <v>150</v>
      </c>
      <c r="L13" s="97"/>
      <c r="M13" s="97"/>
      <c r="N13" s="97">
        <f t="shared" si="4"/>
        <v>0</v>
      </c>
      <c r="O13" s="97">
        <f t="shared" ref="O13:S13" si="12">C13-I13</f>
        <v>0</v>
      </c>
      <c r="P13" s="97">
        <f t="shared" si="12"/>
        <v>0</v>
      </c>
      <c r="Q13" s="97">
        <f t="shared" si="12"/>
        <v>0</v>
      </c>
      <c r="R13" s="97">
        <f t="shared" si="12"/>
        <v>0</v>
      </c>
      <c r="S13" s="97">
        <f t="shared" si="12"/>
        <v>0</v>
      </c>
      <c r="T13" s="97">
        <f t="shared" si="1"/>
        <v>100</v>
      </c>
    </row>
    <row r="14" s="29" customFormat="1" ht="30" customHeight="1" spans="1:20">
      <c r="A14" s="98" t="s">
        <v>195</v>
      </c>
      <c r="B14" s="97">
        <f t="shared" si="2"/>
        <v>700</v>
      </c>
      <c r="C14" s="97"/>
      <c r="D14" s="97"/>
      <c r="E14" s="97">
        <v>700</v>
      </c>
      <c r="F14" s="97"/>
      <c r="G14" s="97"/>
      <c r="H14" s="97">
        <f t="shared" si="3"/>
        <v>700</v>
      </c>
      <c r="I14" s="97"/>
      <c r="J14" s="97"/>
      <c r="K14" s="97">
        <v>700</v>
      </c>
      <c r="L14" s="97"/>
      <c r="M14" s="97"/>
      <c r="N14" s="97">
        <f t="shared" si="4"/>
        <v>0</v>
      </c>
      <c r="O14" s="97">
        <f t="shared" ref="O14:S14" si="13">C14-I14</f>
        <v>0</v>
      </c>
      <c r="P14" s="97">
        <f t="shared" si="13"/>
        <v>0</v>
      </c>
      <c r="Q14" s="97">
        <f t="shared" si="13"/>
        <v>0</v>
      </c>
      <c r="R14" s="97">
        <f t="shared" si="13"/>
        <v>0</v>
      </c>
      <c r="S14" s="97">
        <f t="shared" si="13"/>
        <v>0</v>
      </c>
      <c r="T14" s="97">
        <f t="shared" si="1"/>
        <v>100</v>
      </c>
    </row>
    <row r="15" s="29" customFormat="1" ht="30" customHeight="1" spans="1:20">
      <c r="A15" s="98" t="s">
        <v>197</v>
      </c>
      <c r="B15" s="97">
        <f t="shared" si="2"/>
        <v>1589.36</v>
      </c>
      <c r="C15" s="97">
        <v>326.53</v>
      </c>
      <c r="D15" s="97"/>
      <c r="E15" s="97">
        <f>500+112.83</f>
        <v>612.83</v>
      </c>
      <c r="F15" s="97">
        <v>650</v>
      </c>
      <c r="G15" s="97"/>
      <c r="H15" s="97">
        <f t="shared" si="3"/>
        <v>1589.36</v>
      </c>
      <c r="I15" s="97">
        <v>326.53</v>
      </c>
      <c r="J15" s="97"/>
      <c r="K15" s="97">
        <f>500+112.83</f>
        <v>612.83</v>
      </c>
      <c r="L15" s="97">
        <v>650</v>
      </c>
      <c r="M15" s="97"/>
      <c r="N15" s="97">
        <f t="shared" si="4"/>
        <v>0</v>
      </c>
      <c r="O15" s="97">
        <f t="shared" ref="O15:S15" si="14">C15-I15</f>
        <v>0</v>
      </c>
      <c r="P15" s="97">
        <f t="shared" si="14"/>
        <v>0</v>
      </c>
      <c r="Q15" s="97">
        <f t="shared" si="14"/>
        <v>0</v>
      </c>
      <c r="R15" s="97">
        <f t="shared" si="14"/>
        <v>0</v>
      </c>
      <c r="S15" s="97">
        <f t="shared" si="14"/>
        <v>0</v>
      </c>
      <c r="T15" s="97">
        <f t="shared" si="1"/>
        <v>100</v>
      </c>
    </row>
    <row r="16" s="29" customFormat="1" ht="30" customHeight="1" spans="1:20">
      <c r="A16" s="98" t="s">
        <v>313</v>
      </c>
      <c r="B16" s="97">
        <f t="shared" si="2"/>
        <v>150</v>
      </c>
      <c r="C16" s="97"/>
      <c r="D16" s="97"/>
      <c r="E16" s="97">
        <v>150</v>
      </c>
      <c r="F16" s="97"/>
      <c r="G16" s="97"/>
      <c r="H16" s="97">
        <f t="shared" si="3"/>
        <v>150</v>
      </c>
      <c r="I16" s="97"/>
      <c r="J16" s="97"/>
      <c r="K16" s="97">
        <v>150</v>
      </c>
      <c r="L16" s="97"/>
      <c r="M16" s="97"/>
      <c r="N16" s="97">
        <f t="shared" si="4"/>
        <v>0</v>
      </c>
      <c r="O16" s="97">
        <f t="shared" ref="O16:S16" si="15">C16-I16</f>
        <v>0</v>
      </c>
      <c r="P16" s="97">
        <f t="shared" si="15"/>
        <v>0</v>
      </c>
      <c r="Q16" s="97">
        <f t="shared" si="15"/>
        <v>0</v>
      </c>
      <c r="R16" s="97">
        <f t="shared" si="15"/>
        <v>0</v>
      </c>
      <c r="S16" s="97">
        <f t="shared" si="15"/>
        <v>0</v>
      </c>
      <c r="T16" s="97">
        <f t="shared" si="1"/>
        <v>100</v>
      </c>
    </row>
    <row r="17" s="29" customFormat="1" ht="30" customHeight="1" spans="1:20">
      <c r="A17" s="98" t="s">
        <v>35</v>
      </c>
      <c r="B17" s="97">
        <f t="shared" si="2"/>
        <v>899.35</v>
      </c>
      <c r="C17" s="97">
        <v>879.35</v>
      </c>
      <c r="D17" s="97"/>
      <c r="E17" s="97"/>
      <c r="F17" s="97">
        <v>20</v>
      </c>
      <c r="G17" s="97"/>
      <c r="H17" s="97">
        <f t="shared" si="3"/>
        <v>899.35</v>
      </c>
      <c r="I17" s="97">
        <v>879.35</v>
      </c>
      <c r="J17" s="97"/>
      <c r="K17" s="97"/>
      <c r="L17" s="97">
        <v>20</v>
      </c>
      <c r="M17" s="97"/>
      <c r="N17" s="97">
        <f t="shared" si="4"/>
        <v>0</v>
      </c>
      <c r="O17" s="97">
        <f t="shared" ref="O17:S17" si="16">C17-I17</f>
        <v>0</v>
      </c>
      <c r="P17" s="97">
        <f t="shared" si="16"/>
        <v>0</v>
      </c>
      <c r="Q17" s="97">
        <f t="shared" si="16"/>
        <v>0</v>
      </c>
      <c r="R17" s="97">
        <f t="shared" si="16"/>
        <v>0</v>
      </c>
      <c r="S17" s="97">
        <f t="shared" si="16"/>
        <v>0</v>
      </c>
      <c r="T17" s="97">
        <f t="shared" si="1"/>
        <v>100</v>
      </c>
    </row>
    <row r="18" s="29" customFormat="1" ht="30" customHeight="1" spans="1:20">
      <c r="A18" s="98" t="s">
        <v>314</v>
      </c>
      <c r="B18" s="97">
        <f t="shared" si="2"/>
        <v>80</v>
      </c>
      <c r="C18" s="97"/>
      <c r="D18" s="97">
        <v>80</v>
      </c>
      <c r="E18" s="97"/>
      <c r="F18" s="97"/>
      <c r="G18" s="97"/>
      <c r="H18" s="97">
        <f t="shared" si="3"/>
        <v>80</v>
      </c>
      <c r="I18" s="97"/>
      <c r="J18" s="97">
        <v>80</v>
      </c>
      <c r="K18" s="97"/>
      <c r="L18" s="97"/>
      <c r="M18" s="97"/>
      <c r="N18" s="97">
        <f t="shared" si="4"/>
        <v>0</v>
      </c>
      <c r="O18" s="97">
        <f t="shared" ref="O18:S18" si="17">C18-I18</f>
        <v>0</v>
      </c>
      <c r="P18" s="97">
        <f t="shared" si="17"/>
        <v>0</v>
      </c>
      <c r="Q18" s="97">
        <f t="shared" si="17"/>
        <v>0</v>
      </c>
      <c r="R18" s="97">
        <f t="shared" si="17"/>
        <v>0</v>
      </c>
      <c r="S18" s="97">
        <f t="shared" si="17"/>
        <v>0</v>
      </c>
      <c r="T18" s="97">
        <f t="shared" si="1"/>
        <v>100</v>
      </c>
    </row>
    <row r="19" s="29" customFormat="1" ht="30" customHeight="1" spans="1:20">
      <c r="A19" s="98" t="s">
        <v>315</v>
      </c>
      <c r="B19" s="97">
        <f t="shared" si="2"/>
        <v>157.71</v>
      </c>
      <c r="C19" s="97">
        <v>127.71</v>
      </c>
      <c r="D19" s="97"/>
      <c r="E19" s="97">
        <v>30</v>
      </c>
      <c r="F19" s="97"/>
      <c r="G19" s="97"/>
      <c r="H19" s="97">
        <f t="shared" si="3"/>
        <v>157.71</v>
      </c>
      <c r="I19" s="97">
        <v>127.71</v>
      </c>
      <c r="J19" s="97"/>
      <c r="K19" s="97">
        <v>30</v>
      </c>
      <c r="L19" s="97"/>
      <c r="M19" s="97"/>
      <c r="N19" s="97">
        <f t="shared" si="4"/>
        <v>0</v>
      </c>
      <c r="O19" s="97">
        <f t="shared" ref="O19:S19" si="18">C19-I19</f>
        <v>0</v>
      </c>
      <c r="P19" s="97">
        <f t="shared" si="18"/>
        <v>0</v>
      </c>
      <c r="Q19" s="97">
        <f t="shared" si="18"/>
        <v>0</v>
      </c>
      <c r="R19" s="97">
        <f t="shared" si="18"/>
        <v>0</v>
      </c>
      <c r="S19" s="97">
        <f t="shared" si="18"/>
        <v>0</v>
      </c>
      <c r="T19" s="97">
        <f t="shared" si="1"/>
        <v>100</v>
      </c>
    </row>
    <row r="20" s="29" customFormat="1" ht="30" customHeight="1" spans="1:20">
      <c r="A20" s="98" t="s">
        <v>218</v>
      </c>
      <c r="B20" s="97">
        <f t="shared" si="2"/>
        <v>3356.29</v>
      </c>
      <c r="C20" s="97">
        <v>1315.29</v>
      </c>
      <c r="D20" s="97">
        <v>2041</v>
      </c>
      <c r="E20" s="97"/>
      <c r="F20" s="97"/>
      <c r="G20" s="97"/>
      <c r="H20" s="97">
        <f t="shared" si="3"/>
        <v>2602.8</v>
      </c>
      <c r="I20" s="97">
        <v>1315.29</v>
      </c>
      <c r="J20" s="97">
        <f>1047.51+240</f>
        <v>1287.51</v>
      </c>
      <c r="K20" s="97"/>
      <c r="L20" s="97"/>
      <c r="M20" s="97"/>
      <c r="N20" s="97">
        <f t="shared" si="4"/>
        <v>753.49</v>
      </c>
      <c r="O20" s="97">
        <f t="shared" ref="O20:S20" si="19">C20-I20</f>
        <v>0</v>
      </c>
      <c r="P20" s="97">
        <f t="shared" si="19"/>
        <v>753.49</v>
      </c>
      <c r="Q20" s="97">
        <f t="shared" si="19"/>
        <v>0</v>
      </c>
      <c r="R20" s="97">
        <f t="shared" si="19"/>
        <v>0</v>
      </c>
      <c r="S20" s="97">
        <f t="shared" si="19"/>
        <v>0</v>
      </c>
      <c r="T20" s="97">
        <f t="shared" si="1"/>
        <v>77.5499137440448</v>
      </c>
    </row>
    <row r="21" ht="97" customHeight="1" spans="1:20">
      <c r="A21" s="100" t="s">
        <v>316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2:15">
      <c r="B22" s="101" t="s">
        <v>317</v>
      </c>
      <c r="O22" s="101" t="s">
        <v>318</v>
      </c>
    </row>
  </sheetData>
  <mergeCells count="9">
    <mergeCell ref="A1:T1"/>
    <mergeCell ref="A2:B2"/>
    <mergeCell ref="H2:K2"/>
    <mergeCell ref="B3:G3"/>
    <mergeCell ref="H3:M3"/>
    <mergeCell ref="N3:S3"/>
    <mergeCell ref="A21:T21"/>
    <mergeCell ref="A3:A4"/>
    <mergeCell ref="T3:T4"/>
  </mergeCells>
  <pageMargins left="0.393055555555556" right="0.313888888888889" top="0.786805555555556" bottom="0.747916666666667" header="0.5" footer="0.5"/>
  <pageSetup paperSize="9" scale="63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7"/>
  <sheetViews>
    <sheetView showZeros="0" zoomScale="80" zoomScaleNormal="80" workbookViewId="0">
      <pane xSplit="1" ySplit="5" topLeftCell="B6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26.475" customWidth="1"/>
    <col min="2" max="2" width="13.1833333333333" customWidth="1"/>
    <col min="3" max="3" width="20.6166666666667" customWidth="1"/>
    <col min="4" max="4" width="20.7833333333333" customWidth="1"/>
    <col min="5" max="5" width="13.1916666666667" customWidth="1"/>
    <col min="6" max="6" width="14.825" customWidth="1"/>
    <col min="7" max="7" width="17.8083333333333" customWidth="1"/>
    <col min="8" max="8" width="13.025" hidden="1" customWidth="1"/>
    <col min="9" max="9" width="13.1916666666667" hidden="1" customWidth="1"/>
    <col min="10" max="10" width="12.25" hidden="1" customWidth="1"/>
    <col min="11" max="11" width="12.9166666666667" hidden="1" customWidth="1"/>
    <col min="12" max="12" width="13.1666666666667" hidden="1" customWidth="1"/>
    <col min="13" max="13" width="10.5916666666667" hidden="1" customWidth="1"/>
    <col min="14" max="14" width="11.25" hidden="1" customWidth="1"/>
    <col min="15" max="15" width="12.5" hidden="1" customWidth="1"/>
    <col min="16" max="16" width="16.0166666666667" hidden="1" customWidth="1"/>
    <col min="17" max="21" width="13.375" hidden="1" customWidth="1"/>
    <col min="22" max="22" width="14.2666666666667" hidden="1" customWidth="1"/>
    <col min="23" max="23" width="12.625" hidden="1" customWidth="1"/>
  </cols>
  <sheetData>
    <row r="1" ht="60" customHeight="1" spans="1:21">
      <c r="A1" s="30" t="s">
        <v>319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ht="28" customHeight="1" spans="1:17">
      <c r="A2" s="2" t="s">
        <v>118</v>
      </c>
      <c r="B2" s="3"/>
      <c r="C2" s="68" t="s">
        <v>3</v>
      </c>
      <c r="D2" s="68"/>
      <c r="E2" s="68"/>
      <c r="F2" s="68"/>
      <c r="G2" s="68"/>
      <c r="H2" s="68"/>
      <c r="I2" s="68"/>
      <c r="J2" s="68"/>
      <c r="K2" s="68"/>
      <c r="L2" s="68"/>
      <c r="M2" s="16"/>
      <c r="N2" s="16"/>
      <c r="O2" s="16"/>
      <c r="P2" s="17" t="s">
        <v>3</v>
      </c>
      <c r="Q2" s="17"/>
    </row>
    <row r="3" ht="23" customHeight="1" spans="1:21">
      <c r="A3" s="5" t="s">
        <v>134</v>
      </c>
      <c r="B3" s="5" t="s">
        <v>135</v>
      </c>
      <c r="C3" s="5" t="s">
        <v>62</v>
      </c>
      <c r="D3" s="69" t="s">
        <v>320</v>
      </c>
      <c r="E3" s="6" t="s">
        <v>136</v>
      </c>
      <c r="F3" s="6" t="s">
        <v>137</v>
      </c>
      <c r="G3" s="6" t="s">
        <v>7</v>
      </c>
      <c r="H3" s="5" t="s">
        <v>65</v>
      </c>
      <c r="I3" s="5"/>
      <c r="J3" s="5"/>
      <c r="K3" s="5"/>
      <c r="L3" s="5"/>
      <c r="M3" s="5"/>
      <c r="N3" s="5"/>
      <c r="O3" s="5"/>
      <c r="P3" s="5"/>
      <c r="Q3" s="5"/>
      <c r="U3" s="19" t="s">
        <v>321</v>
      </c>
    </row>
    <row r="4" ht="23" customHeight="1" spans="1:21">
      <c r="A4" s="5"/>
      <c r="B4" s="5"/>
      <c r="C4" s="5"/>
      <c r="D4" s="70"/>
      <c r="E4" s="6"/>
      <c r="F4" s="6"/>
      <c r="G4" s="6"/>
      <c r="H4" s="5" t="s">
        <v>138</v>
      </c>
      <c r="I4" s="5" t="s">
        <v>139</v>
      </c>
      <c r="J4" s="5"/>
      <c r="K4" s="5"/>
      <c r="L4" s="5"/>
      <c r="M4" s="5"/>
      <c r="N4" s="5"/>
      <c r="O4" s="5"/>
      <c r="P4" s="18" t="s">
        <v>140</v>
      </c>
      <c r="Q4" s="5" t="s">
        <v>141</v>
      </c>
      <c r="U4" s="19"/>
    </row>
    <row r="5" ht="23" customHeight="1" spans="1:23">
      <c r="A5" s="5"/>
      <c r="B5" s="5"/>
      <c r="C5" s="5"/>
      <c r="D5" s="71"/>
      <c r="E5" s="6"/>
      <c r="F5" s="6"/>
      <c r="G5" s="6"/>
      <c r="H5" s="5"/>
      <c r="I5" s="5" t="s">
        <v>66</v>
      </c>
      <c r="J5" s="5" t="s">
        <v>142</v>
      </c>
      <c r="K5" s="5" t="s">
        <v>143</v>
      </c>
      <c r="L5" s="5" t="s">
        <v>144</v>
      </c>
      <c r="M5" s="6" t="s">
        <v>69</v>
      </c>
      <c r="N5" s="6" t="s">
        <v>145</v>
      </c>
      <c r="O5" s="5" t="s">
        <v>131</v>
      </c>
      <c r="P5" s="18"/>
      <c r="Q5" s="5"/>
      <c r="R5" s="20" t="s">
        <v>322</v>
      </c>
      <c r="S5" s="21" t="s">
        <v>323</v>
      </c>
      <c r="T5" s="21" t="s">
        <v>324</v>
      </c>
      <c r="U5" s="19"/>
      <c r="V5" s="21" t="s">
        <v>325</v>
      </c>
      <c r="W5" s="22" t="s">
        <v>326</v>
      </c>
    </row>
    <row r="6" ht="57" customHeight="1" spans="1:21">
      <c r="A6" s="72" t="s">
        <v>327</v>
      </c>
      <c r="B6" s="73">
        <f>SUM(B7:B12)</f>
        <v>3455.9468</v>
      </c>
      <c r="C6" s="74">
        <f>SUM(C7:C12)</f>
        <v>0</v>
      </c>
      <c r="D6" s="74">
        <f>SUM(D7:D12)</f>
        <v>0</v>
      </c>
      <c r="E6" s="73">
        <f>SUM(E7:E12)</f>
        <v>3439.8927</v>
      </c>
      <c r="F6" s="73">
        <f>SUM(F7:F12)</f>
        <v>16.0541</v>
      </c>
      <c r="G6" s="73">
        <f t="shared" ref="G6:G21" si="0">E6/B6*100</f>
        <v>99.5354644926826</v>
      </c>
      <c r="H6" s="14"/>
      <c r="I6" s="14"/>
      <c r="J6" s="13"/>
      <c r="K6" s="13"/>
      <c r="L6" s="13"/>
      <c r="M6" s="13"/>
      <c r="N6" s="13"/>
      <c r="O6" s="13"/>
      <c r="P6" s="13"/>
      <c r="Q6" s="13"/>
      <c r="U6" s="25"/>
    </row>
    <row r="7" ht="57" customHeight="1" spans="1:23">
      <c r="A7" s="75" t="s">
        <v>328</v>
      </c>
      <c r="B7" s="76">
        <v>427.86</v>
      </c>
      <c r="C7" s="77" t="s">
        <v>329</v>
      </c>
      <c r="D7" s="77" t="s">
        <v>330</v>
      </c>
      <c r="E7" s="76">
        <f>9.7878+63.1+211.542+65.594+35.772+33.9+7.5+0.6642</f>
        <v>427.86</v>
      </c>
      <c r="F7" s="76">
        <f t="shared" ref="F7:F13" si="1">B7-E7</f>
        <v>0</v>
      </c>
      <c r="G7" s="76">
        <f t="shared" si="0"/>
        <v>100</v>
      </c>
      <c r="H7" s="13">
        <f>SUM(J7:Q7)</f>
        <v>427.86</v>
      </c>
      <c r="I7" s="14">
        <f>SUM(J7:O7)</f>
        <v>0</v>
      </c>
      <c r="J7" s="13"/>
      <c r="K7" s="13"/>
      <c r="L7" s="13"/>
      <c r="M7" s="13"/>
      <c r="N7" s="13"/>
      <c r="O7" s="13"/>
      <c r="P7" s="13">
        <f>9.7878+63.1+211.542+65.594+35.772+33.9+7.5+0.6642</f>
        <v>427.86</v>
      </c>
      <c r="Q7" s="13"/>
      <c r="R7">
        <v>63.1</v>
      </c>
      <c r="S7">
        <f>211.542+65.594+35.772</f>
        <v>312.908</v>
      </c>
      <c r="U7" s="25">
        <v>33.9</v>
      </c>
      <c r="W7">
        <f>7.5+0.6642</f>
        <v>8.1642</v>
      </c>
    </row>
    <row r="8" ht="57" customHeight="1" spans="1:23">
      <c r="A8" s="75" t="s">
        <v>328</v>
      </c>
      <c r="B8" s="76">
        <f>1048.14-5.2532</f>
        <v>1042.8868</v>
      </c>
      <c r="C8" s="77" t="s">
        <v>331</v>
      </c>
      <c r="D8" s="77" t="s">
        <v>330</v>
      </c>
      <c r="E8" s="76">
        <f>231.3+190.038+449.8397+113.0305+18.4969+2.45-0.6642+23.60365-17.48665+27+5.2789</f>
        <v>1042.8868</v>
      </c>
      <c r="F8" s="76">
        <f t="shared" si="1"/>
        <v>0</v>
      </c>
      <c r="G8" s="76">
        <f t="shared" si="0"/>
        <v>100</v>
      </c>
      <c r="H8" s="13">
        <f>SUM(J8:Q8)</f>
        <v>1042.8868</v>
      </c>
      <c r="I8" s="14">
        <f>SUM(J8:O8)</f>
        <v>0</v>
      </c>
      <c r="J8" s="13"/>
      <c r="K8" s="13"/>
      <c r="L8" s="13"/>
      <c r="M8" s="13"/>
      <c r="N8" s="13"/>
      <c r="O8" s="13"/>
      <c r="P8" s="13">
        <f>231.3+190.038+449.8397+113.0305+18.4969+2.45-0.6642+23.60365-17.48665+27+5.2789</f>
        <v>1042.8868</v>
      </c>
      <c r="Q8" s="13"/>
      <c r="R8">
        <v>231.3</v>
      </c>
      <c r="S8">
        <v>190.038</v>
      </c>
      <c r="U8" s="25">
        <v>449.8397</v>
      </c>
      <c r="W8">
        <f>113.0305+18.4969+2.45-0.6642</f>
        <v>133.3132</v>
      </c>
    </row>
    <row r="9" customFormat="1" ht="57" customHeight="1" spans="1:23">
      <c r="A9" s="75" t="s">
        <v>328</v>
      </c>
      <c r="B9" s="76">
        <v>514</v>
      </c>
      <c r="C9" s="75" t="s">
        <v>332</v>
      </c>
      <c r="D9" s="77" t="s">
        <v>333</v>
      </c>
      <c r="E9" s="76">
        <f>65.5+101+78+20.36+127.9474+101+4+16.1926</f>
        <v>514</v>
      </c>
      <c r="F9" s="76">
        <f t="shared" si="1"/>
        <v>0</v>
      </c>
      <c r="G9" s="76">
        <f t="shared" si="0"/>
        <v>100</v>
      </c>
      <c r="H9" s="13">
        <f>SUM(J9:Q9)</f>
        <v>514</v>
      </c>
      <c r="I9" s="14"/>
      <c r="J9" s="13"/>
      <c r="K9" s="13"/>
      <c r="L9" s="13"/>
      <c r="M9" s="13"/>
      <c r="N9" s="13"/>
      <c r="O9" s="13"/>
      <c r="P9" s="13">
        <f>65.5+101+78+20.36+127.9474+4+101+16.1926</f>
        <v>514</v>
      </c>
      <c r="Q9" s="13"/>
      <c r="S9">
        <f>65.5+101</f>
        <v>166.5</v>
      </c>
      <c r="T9">
        <v>78</v>
      </c>
      <c r="U9" s="24"/>
      <c r="W9">
        <f>20.36+127.9474+101</f>
        <v>249.3074</v>
      </c>
    </row>
    <row r="10" ht="57" customHeight="1" spans="1:23">
      <c r="A10" s="75" t="s">
        <v>328</v>
      </c>
      <c r="B10" s="78">
        <v>261</v>
      </c>
      <c r="C10" s="77" t="s">
        <v>331</v>
      </c>
      <c r="D10" s="77" t="s">
        <v>330</v>
      </c>
      <c r="E10" s="76">
        <f>133.1439+96.8231+30.94+0.093</f>
        <v>261</v>
      </c>
      <c r="F10" s="76">
        <f t="shared" si="1"/>
        <v>0</v>
      </c>
      <c r="G10" s="76">
        <f t="shared" si="0"/>
        <v>100</v>
      </c>
      <c r="H10" s="13">
        <f>SUM(J10:Q10)</f>
        <v>261</v>
      </c>
      <c r="I10" s="14">
        <f>SUM(J10:O10)</f>
        <v>0</v>
      </c>
      <c r="J10" s="13"/>
      <c r="K10" s="13"/>
      <c r="L10" s="13"/>
      <c r="M10" s="13"/>
      <c r="N10" s="13"/>
      <c r="O10" s="13"/>
      <c r="P10" s="13">
        <f>133.1439+96.8231+30.94+0.093</f>
        <v>261</v>
      </c>
      <c r="Q10" s="13"/>
      <c r="R10">
        <v>133.1439</v>
      </c>
      <c r="U10" s="84">
        <v>96.8231</v>
      </c>
      <c r="W10">
        <v>30.94</v>
      </c>
    </row>
    <row r="11" ht="57" customHeight="1" spans="1:23">
      <c r="A11" s="75" t="s">
        <v>328</v>
      </c>
      <c r="B11" s="78">
        <f>280+587.2</f>
        <v>867.2</v>
      </c>
      <c r="C11" s="79" t="s">
        <v>334</v>
      </c>
      <c r="D11" s="77" t="s">
        <v>335</v>
      </c>
      <c r="E11" s="76">
        <f>142+222.145+80.6996+33.6606+20+117.145+106.8732+36.9+30+77.1+0.6766</f>
        <v>867.2</v>
      </c>
      <c r="F11" s="76">
        <f t="shared" si="1"/>
        <v>0</v>
      </c>
      <c r="G11" s="76">
        <f t="shared" si="0"/>
        <v>100</v>
      </c>
      <c r="H11" s="14">
        <f>I11+P11+Q11</f>
        <v>867.2</v>
      </c>
      <c r="I11" s="14">
        <f>SUM(J11:O11)</f>
        <v>0</v>
      </c>
      <c r="J11" s="13"/>
      <c r="K11" s="13"/>
      <c r="L11" s="13"/>
      <c r="M11" s="13"/>
      <c r="N11" s="13"/>
      <c r="O11" s="13"/>
      <c r="P11" s="13">
        <f>142+222.145+80.6996+33.6606+117.145+106.8732+36.9+20+30+77.1+0.6766</f>
        <v>867.2</v>
      </c>
      <c r="Q11" s="85"/>
      <c r="R11">
        <v>142</v>
      </c>
      <c r="S11">
        <v>222.145</v>
      </c>
      <c r="U11" s="25">
        <f>80.6996+33.6606+20</f>
        <v>134.3602</v>
      </c>
      <c r="W11">
        <f>117.145+106.8732+36.9+30</f>
        <v>290.9182</v>
      </c>
    </row>
    <row r="12" ht="57" customHeight="1" spans="1:21">
      <c r="A12" s="75" t="s">
        <v>328</v>
      </c>
      <c r="B12" s="78">
        <v>343</v>
      </c>
      <c r="C12" s="79" t="s">
        <v>336</v>
      </c>
      <c r="D12" s="79" t="s">
        <v>337</v>
      </c>
      <c r="E12" s="76">
        <v>326.9459</v>
      </c>
      <c r="F12" s="76">
        <f t="shared" si="1"/>
        <v>16.0541</v>
      </c>
      <c r="G12" s="76">
        <f t="shared" si="0"/>
        <v>95.3195043731778</v>
      </c>
      <c r="H12" s="14">
        <f>I12+P12++Q12</f>
        <v>326.9459</v>
      </c>
      <c r="I12" s="14">
        <f>SUM(J12:O12)</f>
        <v>0</v>
      </c>
      <c r="J12" s="13"/>
      <c r="K12" s="13"/>
      <c r="L12" s="13"/>
      <c r="M12" s="13"/>
      <c r="N12" s="13"/>
      <c r="O12" s="13"/>
      <c r="P12" s="13">
        <v>326.9459</v>
      </c>
      <c r="Q12" s="13"/>
      <c r="U12" s="25"/>
    </row>
    <row r="13" ht="57" customHeight="1" spans="1:23">
      <c r="A13" s="72" t="s">
        <v>338</v>
      </c>
      <c r="B13" s="76">
        <v>700</v>
      </c>
      <c r="C13" s="79" t="s">
        <v>339</v>
      </c>
      <c r="D13" s="79" t="s">
        <v>340</v>
      </c>
      <c r="E13" s="76">
        <f>146.61432+173.262+209.375+167.543+3.20568</f>
        <v>700</v>
      </c>
      <c r="F13" s="76">
        <f t="shared" si="1"/>
        <v>0</v>
      </c>
      <c r="G13" s="76">
        <f t="shared" si="0"/>
        <v>100</v>
      </c>
      <c r="H13" s="14">
        <f>I13+P13+Q13</f>
        <v>700</v>
      </c>
      <c r="I13" s="14">
        <f>SUM(J13:O13)</f>
        <v>0</v>
      </c>
      <c r="J13" s="13"/>
      <c r="K13" s="13"/>
      <c r="L13" s="13"/>
      <c r="M13" s="13"/>
      <c r="N13" s="13"/>
      <c r="O13" s="13"/>
      <c r="P13" s="13"/>
      <c r="Q13" s="13">
        <f>146.61432+173.262+209.375+167.543+3.20568</f>
        <v>700</v>
      </c>
      <c r="T13">
        <v>173.262</v>
      </c>
      <c r="U13" s="25">
        <v>209.375</v>
      </c>
      <c r="V13">
        <v>167.543</v>
      </c>
      <c r="W13">
        <v>3.20568</v>
      </c>
    </row>
    <row r="14" customFormat="1" ht="57" customHeight="1" spans="1:21">
      <c r="A14" s="72" t="s">
        <v>341</v>
      </c>
      <c r="B14" s="73">
        <f>SUM(B15:B19)</f>
        <v>3484.755588</v>
      </c>
      <c r="C14" s="73">
        <f>SUM(C15:C19)</f>
        <v>0</v>
      </c>
      <c r="D14" s="73">
        <f>SUM(D15:D19)</f>
        <v>0</v>
      </c>
      <c r="E14" s="73">
        <f>SUM(E15:E19)</f>
        <v>3484.755588</v>
      </c>
      <c r="F14" s="73">
        <f>SUM(F15:F19)</f>
        <v>0</v>
      </c>
      <c r="G14" s="73">
        <f t="shared" si="0"/>
        <v>100</v>
      </c>
      <c r="H14" s="14"/>
      <c r="I14" s="14"/>
      <c r="J14" s="13"/>
      <c r="K14" s="13"/>
      <c r="L14" s="13"/>
      <c r="M14" s="13"/>
      <c r="N14" s="13"/>
      <c r="O14" s="13"/>
      <c r="P14" s="13"/>
      <c r="Q14" s="13"/>
      <c r="U14" s="24"/>
    </row>
    <row r="15" ht="57" customHeight="1" spans="1:21">
      <c r="A15" s="75" t="s">
        <v>342</v>
      </c>
      <c r="B15" s="76">
        <v>1570.47</v>
      </c>
      <c r="C15" s="75" t="s">
        <v>343</v>
      </c>
      <c r="D15" s="77" t="s">
        <v>330</v>
      </c>
      <c r="E15" s="76">
        <f>782.121532+S15</f>
        <v>1570.47</v>
      </c>
      <c r="F15" s="76">
        <f t="shared" ref="F15:F20" si="2">B15-E15</f>
        <v>0</v>
      </c>
      <c r="G15" s="76">
        <f t="shared" si="0"/>
        <v>100</v>
      </c>
      <c r="H15" s="13">
        <f>SUM(J15:Q15)</f>
        <v>1570.47</v>
      </c>
      <c r="I15" s="14">
        <f t="shared" ref="I15:I20" si="3">SUM(J15:O15)</f>
        <v>0</v>
      </c>
      <c r="J15" s="13"/>
      <c r="K15" s="13"/>
      <c r="L15" s="13"/>
      <c r="M15" s="13"/>
      <c r="N15" s="13"/>
      <c r="O15" s="13"/>
      <c r="P15" s="13">
        <f>782.121532+276.328991+512.019477</f>
        <v>1570.47</v>
      </c>
      <c r="Q15" s="13"/>
      <c r="R15">
        <v>782.121532</v>
      </c>
      <c r="S15">
        <f>276.328991+512.019477</f>
        <v>788.348468</v>
      </c>
      <c r="U15" s="24"/>
    </row>
    <row r="16" ht="57" customHeight="1" spans="1:21">
      <c r="A16" s="75" t="s">
        <v>342</v>
      </c>
      <c r="B16" s="76">
        <v>202.8</v>
      </c>
      <c r="C16" s="79" t="s">
        <v>344</v>
      </c>
      <c r="D16" s="77" t="s">
        <v>335</v>
      </c>
      <c r="E16" s="76">
        <f>33.360174+169.439826</f>
        <v>202.8</v>
      </c>
      <c r="F16" s="76">
        <f t="shared" si="2"/>
        <v>0</v>
      </c>
      <c r="G16" s="76">
        <f t="shared" si="0"/>
        <v>100</v>
      </c>
      <c r="H16" s="14">
        <f>I16+P16+Q16</f>
        <v>202.8</v>
      </c>
      <c r="I16" s="14">
        <f t="shared" si="3"/>
        <v>0</v>
      </c>
      <c r="J16" s="13"/>
      <c r="K16" s="13"/>
      <c r="L16" s="13"/>
      <c r="M16" s="13"/>
      <c r="N16" s="13"/>
      <c r="O16" s="13"/>
      <c r="P16" s="13">
        <f>33.360174+169.439826</f>
        <v>202.8</v>
      </c>
      <c r="Q16" s="13"/>
      <c r="S16">
        <v>33.36</v>
      </c>
      <c r="T16">
        <v>169.439826</v>
      </c>
      <c r="U16" s="24"/>
    </row>
    <row r="17" ht="57" customHeight="1" spans="1:21">
      <c r="A17" s="75" t="s">
        <v>342</v>
      </c>
      <c r="B17" s="76">
        <f>889.73-117.350608</f>
        <v>772.379392</v>
      </c>
      <c r="C17" s="79" t="s">
        <v>345</v>
      </c>
      <c r="D17" s="77" t="s">
        <v>346</v>
      </c>
      <c r="E17" s="76">
        <f>486.155869+286.223523</f>
        <v>772.379392</v>
      </c>
      <c r="F17" s="76">
        <f t="shared" si="2"/>
        <v>0</v>
      </c>
      <c r="G17" s="76">
        <f t="shared" si="0"/>
        <v>100</v>
      </c>
      <c r="H17" s="14">
        <f>I17+P17+Q17</f>
        <v>772.379392</v>
      </c>
      <c r="I17" s="14">
        <f t="shared" si="3"/>
        <v>0</v>
      </c>
      <c r="J17" s="13"/>
      <c r="K17" s="13"/>
      <c r="L17" s="13"/>
      <c r="M17" s="13"/>
      <c r="N17" s="13"/>
      <c r="O17" s="13"/>
      <c r="P17" s="13">
        <f>486.155869+286.223523</f>
        <v>772.379392</v>
      </c>
      <c r="Q17" s="13"/>
      <c r="T17">
        <v>486.155869</v>
      </c>
      <c r="U17" s="24"/>
    </row>
    <row r="18" ht="57" customHeight="1" spans="1:21">
      <c r="A18" s="75" t="s">
        <v>342</v>
      </c>
      <c r="B18" s="76">
        <v>162</v>
      </c>
      <c r="C18" s="79" t="s">
        <v>345</v>
      </c>
      <c r="D18" s="79" t="s">
        <v>337</v>
      </c>
      <c r="E18" s="76">
        <v>162</v>
      </c>
      <c r="F18" s="76">
        <f t="shared" si="2"/>
        <v>0</v>
      </c>
      <c r="G18" s="76">
        <f t="shared" si="0"/>
        <v>100</v>
      </c>
      <c r="H18" s="14">
        <f>I18+P18++Q18</f>
        <v>162</v>
      </c>
      <c r="I18" s="14">
        <f t="shared" si="3"/>
        <v>0</v>
      </c>
      <c r="J18" s="13"/>
      <c r="K18" s="13"/>
      <c r="L18" s="13"/>
      <c r="M18" s="13"/>
      <c r="N18" s="13"/>
      <c r="O18" s="13"/>
      <c r="P18" s="13">
        <v>162</v>
      </c>
      <c r="Q18" s="13"/>
      <c r="U18" s="24"/>
    </row>
    <row r="19" ht="57" customHeight="1" spans="1:21">
      <c r="A19" s="75" t="s">
        <v>342</v>
      </c>
      <c r="B19" s="76">
        <f>780-2.893804</f>
        <v>777.106196</v>
      </c>
      <c r="C19" s="79" t="s">
        <v>347</v>
      </c>
      <c r="D19" s="79" t="s">
        <v>348</v>
      </c>
      <c r="E19" s="76">
        <v>777.106196</v>
      </c>
      <c r="F19" s="76">
        <f t="shared" si="2"/>
        <v>0</v>
      </c>
      <c r="G19" s="76">
        <f t="shared" si="0"/>
        <v>100</v>
      </c>
      <c r="H19" s="14">
        <f>I19+P19++Q19</f>
        <v>777.106196</v>
      </c>
      <c r="I19" s="14">
        <f t="shared" si="3"/>
        <v>0</v>
      </c>
      <c r="J19" s="13"/>
      <c r="K19" s="13"/>
      <c r="L19" s="13"/>
      <c r="M19" s="13"/>
      <c r="N19" s="13"/>
      <c r="O19" s="13"/>
      <c r="P19" s="13">
        <v>777.106196</v>
      </c>
      <c r="Q19" s="13"/>
      <c r="U19" s="24"/>
    </row>
    <row r="20" customFormat="1" ht="57" customHeight="1" spans="1:21">
      <c r="A20" s="72" t="s">
        <v>349</v>
      </c>
      <c r="B20" s="78">
        <f>500+112.83</f>
        <v>612.83</v>
      </c>
      <c r="C20" s="79" t="s">
        <v>350</v>
      </c>
      <c r="D20" s="79" t="s">
        <v>340</v>
      </c>
      <c r="E20" s="76">
        <f>500+112.83</f>
        <v>612.83</v>
      </c>
      <c r="F20" s="76">
        <f t="shared" si="2"/>
        <v>0</v>
      </c>
      <c r="G20" s="76">
        <f t="shared" si="0"/>
        <v>100</v>
      </c>
      <c r="H20" s="14">
        <f>I20+P20+Q20</f>
        <v>612.83</v>
      </c>
      <c r="I20" s="14">
        <f t="shared" si="3"/>
        <v>0</v>
      </c>
      <c r="J20" s="13"/>
      <c r="K20" s="13"/>
      <c r="L20" s="13"/>
      <c r="M20" s="13"/>
      <c r="N20" s="13"/>
      <c r="O20" s="13"/>
      <c r="P20" s="13"/>
      <c r="Q20" s="13">
        <f>500+112.83</f>
        <v>612.83</v>
      </c>
      <c r="U20" s="24"/>
    </row>
    <row r="21" ht="57" customHeight="1" spans="1:17">
      <c r="A21" s="80" t="s">
        <v>351</v>
      </c>
      <c r="B21" s="81">
        <f>B6+B13+B14+B20</f>
        <v>8253.532388</v>
      </c>
      <c r="C21" s="81"/>
      <c r="D21" s="81"/>
      <c r="E21" s="81">
        <f>E6+E13+E14+E20</f>
        <v>8237.478288</v>
      </c>
      <c r="F21" s="81">
        <f>F6+F13+F14+F20</f>
        <v>16.0541</v>
      </c>
      <c r="G21" s="81">
        <f t="shared" si="0"/>
        <v>99.8054881322894</v>
      </c>
      <c r="H21" s="82" t="e">
        <f>#REF!+#REF!+#REF!+#REF!</f>
        <v>#REF!</v>
      </c>
      <c r="I21" s="82" t="e">
        <f>#REF!+#REF!+#REF!+#REF!</f>
        <v>#REF!</v>
      </c>
      <c r="J21" s="82" t="e">
        <f>#REF!+#REF!+#REF!+#REF!</f>
        <v>#REF!</v>
      </c>
      <c r="K21" s="82" t="e">
        <f>#REF!+#REF!+#REF!+#REF!</f>
        <v>#REF!</v>
      </c>
      <c r="L21" s="82" t="e">
        <f>#REF!+#REF!+#REF!+#REF!</f>
        <v>#REF!</v>
      </c>
      <c r="M21" s="82" t="e">
        <f>#REF!+#REF!+#REF!+#REF!</f>
        <v>#REF!</v>
      </c>
      <c r="N21" s="82" t="e">
        <f>#REF!+#REF!+#REF!+#REF!</f>
        <v>#REF!</v>
      </c>
      <c r="O21" s="82" t="e">
        <f>#REF!+#REF!+#REF!+#REF!</f>
        <v>#REF!</v>
      </c>
      <c r="P21" s="82" t="e">
        <f>#REF!+#REF!+#REF!+#REF!</f>
        <v>#REF!</v>
      </c>
      <c r="Q21" s="82" t="e">
        <f>#REF!+#REF!+#REF!+#REF!</f>
        <v>#REF!</v>
      </c>
    </row>
    <row r="22" ht="26" customHeight="1"/>
    <row r="23" ht="26" customHeight="1"/>
    <row r="24" ht="26" customHeight="1" spans="1:2">
      <c r="A24" s="83"/>
      <c r="B24" s="83"/>
    </row>
    <row r="25" ht="26" customHeight="1" spans="2:2">
      <c r="B25" s="83"/>
    </row>
    <row r="26" ht="26" customHeight="1"/>
    <row r="27" ht="26" customHeight="1"/>
  </sheetData>
  <autoFilter ref="A1:Q21">
    <extLst/>
  </autoFilter>
  <sortState ref="A6:X19">
    <sortCondition ref="A6:A19"/>
  </sortState>
  <mergeCells count="16">
    <mergeCell ref="A1:U1"/>
    <mergeCell ref="C2:L2"/>
    <mergeCell ref="P2:Q2"/>
    <mergeCell ref="H3:Q3"/>
    <mergeCell ref="I4:O4"/>
    <mergeCell ref="A3:A5"/>
    <mergeCell ref="B3:B5"/>
    <mergeCell ref="C3:C5"/>
    <mergeCell ref="D3:D5"/>
    <mergeCell ref="E3:E5"/>
    <mergeCell ref="F3:F5"/>
    <mergeCell ref="G3:G5"/>
    <mergeCell ref="H4:H5"/>
    <mergeCell ref="P4:P5"/>
    <mergeCell ref="Q4:Q5"/>
    <mergeCell ref="U3:U5"/>
  </mergeCells>
  <pageMargins left="0.629166666666667" right="0.354166666666667" top="0.629166666666667" bottom="0.196527777777778" header="0.707638888888889" footer="0.747916666666667"/>
  <pageSetup paperSize="9" scale="68" fitToHeight="0" orientation="portrait" horizontalDpi="600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4" sqref="N14"/>
    </sheetView>
  </sheetViews>
  <sheetFormatPr defaultColWidth="9" defaultRowHeight="14.25"/>
  <sheetData/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56"/>
  <sheetViews>
    <sheetView showZeros="0" tabSelected="1" zoomScale="70" zoomScaleNormal="70" workbookViewId="0">
      <pane xSplit="5" ySplit="4" topLeftCell="F5" activePane="bottomRight" state="frozen"/>
      <selection/>
      <selection pane="topRight"/>
      <selection pane="bottomLeft"/>
      <selection pane="bottomRight" activeCell="H11" sqref="H11"/>
    </sheetView>
  </sheetViews>
  <sheetFormatPr defaultColWidth="9" defaultRowHeight="14.25"/>
  <cols>
    <col min="1" max="1" width="14.8583333333333" style="29" customWidth="1"/>
    <col min="2" max="2" width="11.9416666666667" style="29" customWidth="1"/>
    <col min="3" max="3" width="13.0583333333333" style="29" customWidth="1"/>
    <col min="4" max="4" width="10.55" style="29" customWidth="1"/>
    <col min="5" max="5" width="21.8" style="29" customWidth="1"/>
    <col min="6" max="6" width="13.1833333333333" style="29" customWidth="1"/>
    <col min="7" max="7" width="26.9666666666667" style="29" customWidth="1"/>
    <col min="8" max="8" width="13.1916666666667" style="29" customWidth="1"/>
    <col min="9" max="9" width="14.825" style="29" customWidth="1"/>
    <col min="10" max="10" width="10.75" style="29" customWidth="1"/>
    <col min="11" max="11" width="9" style="29"/>
    <col min="12" max="12" width="9.375" style="29"/>
    <col min="13" max="16384" width="9" style="29"/>
  </cols>
  <sheetData>
    <row r="1" ht="38" customHeight="1" spans="1:10">
      <c r="A1" s="30" t="s">
        <v>352</v>
      </c>
      <c r="B1" s="30"/>
      <c r="C1" s="30"/>
      <c r="D1" s="30"/>
      <c r="E1" s="30"/>
      <c r="F1" s="30"/>
      <c r="G1" s="30"/>
      <c r="H1" s="30"/>
      <c r="I1" s="30"/>
      <c r="J1" s="30"/>
    </row>
    <row r="2" ht="20" customHeight="1" spans="1:10">
      <c r="A2" s="31" t="s">
        <v>353</v>
      </c>
      <c r="B2" s="31"/>
      <c r="C2" s="32"/>
      <c r="D2" s="33"/>
      <c r="E2" s="33"/>
      <c r="F2" s="33"/>
      <c r="G2" s="33"/>
      <c r="H2" s="33"/>
      <c r="I2" s="65" t="s">
        <v>3</v>
      </c>
      <c r="J2" s="66"/>
    </row>
    <row r="3" ht="24" customHeight="1" spans="1:10">
      <c r="A3" s="34" t="s">
        <v>354</v>
      </c>
      <c r="B3" s="34" t="s">
        <v>355</v>
      </c>
      <c r="C3" s="34" t="s">
        <v>356</v>
      </c>
      <c r="D3" s="34" t="s">
        <v>357</v>
      </c>
      <c r="E3" s="34" t="s">
        <v>358</v>
      </c>
      <c r="F3" s="34" t="s">
        <v>135</v>
      </c>
      <c r="G3" s="34" t="s">
        <v>62</v>
      </c>
      <c r="H3" s="35" t="s">
        <v>136</v>
      </c>
      <c r="I3" s="35" t="s">
        <v>137</v>
      </c>
      <c r="J3" s="35" t="s">
        <v>7</v>
      </c>
    </row>
    <row r="4" ht="24" customHeight="1" spans="1:10">
      <c r="A4" s="34"/>
      <c r="B4" s="34"/>
      <c r="C4" s="34" t="s">
        <v>356</v>
      </c>
      <c r="D4" s="34"/>
      <c r="E4" s="34"/>
      <c r="F4" s="34"/>
      <c r="G4" s="34"/>
      <c r="H4" s="35"/>
      <c r="I4" s="35"/>
      <c r="J4" s="35"/>
    </row>
    <row r="5" s="26" customFormat="1" ht="29" customHeight="1" spans="1:10">
      <c r="A5" s="36" t="s">
        <v>359</v>
      </c>
      <c r="B5" s="36">
        <v>8314</v>
      </c>
      <c r="C5" s="36" t="s">
        <v>360</v>
      </c>
      <c r="D5" s="36" t="s">
        <v>361</v>
      </c>
      <c r="E5" s="37" t="s">
        <v>150</v>
      </c>
      <c r="F5" s="38">
        <v>622.05</v>
      </c>
      <c r="G5" s="39" t="s">
        <v>362</v>
      </c>
      <c r="H5" s="38">
        <v>615.742518</v>
      </c>
      <c r="I5" s="38">
        <v>6.30748199999994</v>
      </c>
      <c r="J5" s="67">
        <v>98.9860168796721</v>
      </c>
    </row>
    <row r="6" s="26" customFormat="1" ht="29" customHeight="1" spans="1:10">
      <c r="A6" s="36"/>
      <c r="B6" s="36"/>
      <c r="C6" s="36"/>
      <c r="D6" s="36"/>
      <c r="E6" s="37" t="s">
        <v>150</v>
      </c>
      <c r="F6" s="38">
        <v>342.5173</v>
      </c>
      <c r="G6" s="39" t="s">
        <v>363</v>
      </c>
      <c r="H6" s="38">
        <v>342.5173</v>
      </c>
      <c r="I6" s="38">
        <v>0</v>
      </c>
      <c r="J6" s="67">
        <v>100</v>
      </c>
    </row>
    <row r="7" s="26" customFormat="1" ht="29" customHeight="1" spans="1:10">
      <c r="A7" s="36"/>
      <c r="B7" s="36"/>
      <c r="C7" s="36"/>
      <c r="D7" s="36"/>
      <c r="E7" s="37" t="s">
        <v>364</v>
      </c>
      <c r="F7" s="38">
        <f>35.4327+85.55</f>
        <v>120.9827</v>
      </c>
      <c r="G7" s="39" t="s">
        <v>365</v>
      </c>
      <c r="H7" s="38">
        <v>120.9827</v>
      </c>
      <c r="I7" s="38">
        <v>0</v>
      </c>
      <c r="J7" s="67">
        <v>100</v>
      </c>
    </row>
    <row r="8" s="26" customFormat="1" ht="29" customHeight="1" spans="1:10">
      <c r="A8" s="36"/>
      <c r="B8" s="36"/>
      <c r="C8" s="36"/>
      <c r="D8" s="36"/>
      <c r="E8" s="37" t="s">
        <v>152</v>
      </c>
      <c r="F8" s="38">
        <v>40</v>
      </c>
      <c r="G8" s="37" t="s">
        <v>366</v>
      </c>
      <c r="H8" s="38"/>
      <c r="I8" s="38">
        <v>40</v>
      </c>
      <c r="J8" s="67">
        <v>0</v>
      </c>
    </row>
    <row r="9" s="26" customFormat="1" ht="29" customHeight="1" spans="1:10">
      <c r="A9" s="36"/>
      <c r="B9" s="36"/>
      <c r="C9" s="36"/>
      <c r="D9" s="36"/>
      <c r="E9" s="37" t="s">
        <v>367</v>
      </c>
      <c r="F9" s="38">
        <v>381.9</v>
      </c>
      <c r="G9" s="39" t="s">
        <v>368</v>
      </c>
      <c r="H9" s="38">
        <v>286.425</v>
      </c>
      <c r="I9" s="38">
        <v>95.475</v>
      </c>
      <c r="J9" s="67">
        <v>75</v>
      </c>
    </row>
    <row r="10" s="26" customFormat="1" ht="29" customHeight="1" spans="1:10">
      <c r="A10" s="36"/>
      <c r="B10" s="36"/>
      <c r="C10" s="36"/>
      <c r="D10" s="36"/>
      <c r="E10" s="37" t="s">
        <v>364</v>
      </c>
      <c r="F10" s="38">
        <v>1182</v>
      </c>
      <c r="G10" s="39" t="s">
        <v>368</v>
      </c>
      <c r="H10" s="38">
        <v>1179.277311</v>
      </c>
      <c r="I10" s="38">
        <v>2.72268899999995</v>
      </c>
      <c r="J10" s="67">
        <v>99.7696540609137</v>
      </c>
    </row>
    <row r="11" s="26" customFormat="1" ht="29" customHeight="1" spans="1:10">
      <c r="A11" s="36"/>
      <c r="B11" s="36"/>
      <c r="C11" s="36"/>
      <c r="D11" s="36"/>
      <c r="E11" s="37" t="s">
        <v>150</v>
      </c>
      <c r="F11" s="38">
        <v>1200</v>
      </c>
      <c r="G11" s="39" t="s">
        <v>232</v>
      </c>
      <c r="H11" s="38">
        <v>1200</v>
      </c>
      <c r="I11" s="38">
        <v>0</v>
      </c>
      <c r="J11" s="67">
        <v>100</v>
      </c>
    </row>
    <row r="12" s="26" customFormat="1" ht="29" customHeight="1" spans="1:10">
      <c r="A12" s="36"/>
      <c r="B12" s="36"/>
      <c r="C12" s="36"/>
      <c r="D12" s="36"/>
      <c r="E12" s="37" t="s">
        <v>364</v>
      </c>
      <c r="F12" s="38">
        <v>377.25</v>
      </c>
      <c r="G12" s="37" t="s">
        <v>369</v>
      </c>
      <c r="H12" s="38">
        <v>355.834577</v>
      </c>
      <c r="I12" s="38">
        <v>21.415423</v>
      </c>
      <c r="J12" s="67">
        <v>94.3232808482439</v>
      </c>
    </row>
    <row r="13" s="26" customFormat="1" ht="29" customHeight="1" spans="1:10">
      <c r="A13" s="36"/>
      <c r="B13" s="36"/>
      <c r="C13" s="36"/>
      <c r="D13" s="36"/>
      <c r="E13" s="37" t="s">
        <v>364</v>
      </c>
      <c r="F13" s="38">
        <v>700</v>
      </c>
      <c r="G13" s="39" t="s">
        <v>370</v>
      </c>
      <c r="H13" s="38">
        <v>700</v>
      </c>
      <c r="I13" s="38">
        <v>0</v>
      </c>
      <c r="J13" s="67">
        <v>100</v>
      </c>
    </row>
    <row r="14" s="26" customFormat="1" ht="29" customHeight="1" spans="1:10">
      <c r="A14" s="36"/>
      <c r="B14" s="36"/>
      <c r="C14" s="36"/>
      <c r="D14" s="36"/>
      <c r="E14" s="37" t="s">
        <v>148</v>
      </c>
      <c r="F14" s="38">
        <v>1000</v>
      </c>
      <c r="G14" s="39" t="s">
        <v>215</v>
      </c>
      <c r="H14" s="38">
        <v>928.857552</v>
      </c>
      <c r="I14" s="38">
        <v>71.1424480000001</v>
      </c>
      <c r="J14" s="67">
        <v>92.8857552</v>
      </c>
    </row>
    <row r="15" s="26" customFormat="1" ht="29" customHeight="1" spans="1:10">
      <c r="A15" s="36"/>
      <c r="B15" s="36"/>
      <c r="C15" s="36"/>
      <c r="D15" s="36"/>
      <c r="E15" s="37" t="s">
        <v>152</v>
      </c>
      <c r="F15" s="38">
        <v>320</v>
      </c>
      <c r="G15" s="39" t="s">
        <v>155</v>
      </c>
      <c r="H15" s="38">
        <v>320</v>
      </c>
      <c r="I15" s="38">
        <v>0</v>
      </c>
      <c r="J15" s="67">
        <v>100</v>
      </c>
    </row>
    <row r="16" s="26" customFormat="1" ht="29" customHeight="1" spans="1:10">
      <c r="A16" s="36"/>
      <c r="B16" s="36"/>
      <c r="C16" s="36"/>
      <c r="D16" s="36"/>
      <c r="E16" s="37" t="s">
        <v>371</v>
      </c>
      <c r="F16" s="38">
        <v>749.11</v>
      </c>
      <c r="G16" s="39" t="s">
        <v>372</v>
      </c>
      <c r="H16" s="38">
        <v>749.11</v>
      </c>
      <c r="I16" s="38">
        <v>0</v>
      </c>
      <c r="J16" s="67">
        <v>100</v>
      </c>
    </row>
    <row r="17" s="26" customFormat="1" ht="29" customHeight="1" spans="1:10">
      <c r="A17" s="36"/>
      <c r="B17" s="36"/>
      <c r="C17" s="36"/>
      <c r="D17" s="36"/>
      <c r="E17" s="37" t="s">
        <v>364</v>
      </c>
      <c r="F17" s="38">
        <v>200</v>
      </c>
      <c r="G17" s="39" t="s">
        <v>373</v>
      </c>
      <c r="H17" s="38">
        <v>94.574232</v>
      </c>
      <c r="I17" s="38">
        <v>105.425768</v>
      </c>
      <c r="J17" s="67">
        <v>47.287116</v>
      </c>
    </row>
    <row r="18" s="26" customFormat="1" ht="29" customHeight="1" spans="1:10">
      <c r="A18" s="36"/>
      <c r="B18" s="36"/>
      <c r="C18" s="36"/>
      <c r="D18" s="36"/>
      <c r="E18" s="37" t="s">
        <v>218</v>
      </c>
      <c r="F18" s="38">
        <v>932.19</v>
      </c>
      <c r="G18" s="39" t="s">
        <v>374</v>
      </c>
      <c r="H18" s="38">
        <v>932.19</v>
      </c>
      <c r="I18" s="38">
        <v>0</v>
      </c>
      <c r="J18" s="67">
        <v>100</v>
      </c>
    </row>
    <row r="19" s="26" customFormat="1" ht="29" customHeight="1" spans="1:10">
      <c r="A19" s="36"/>
      <c r="B19" s="36"/>
      <c r="C19" s="36"/>
      <c r="D19" s="36"/>
      <c r="E19" s="37" t="s">
        <v>56</v>
      </c>
      <c r="F19" s="38">
        <v>146</v>
      </c>
      <c r="G19" s="39" t="s">
        <v>375</v>
      </c>
      <c r="H19" s="38">
        <v>103</v>
      </c>
      <c r="I19" s="38">
        <v>43</v>
      </c>
      <c r="J19" s="67">
        <v>70.5479452054795</v>
      </c>
    </row>
    <row r="20" s="26" customFormat="1" ht="29" customHeight="1" spans="1:10">
      <c r="A20" s="36" t="s">
        <v>376</v>
      </c>
      <c r="B20" s="36">
        <v>1520</v>
      </c>
      <c r="C20" s="36" t="s">
        <v>377</v>
      </c>
      <c r="D20" s="36"/>
      <c r="E20" s="37" t="s">
        <v>364</v>
      </c>
      <c r="F20" s="38">
        <v>5.5</v>
      </c>
      <c r="G20" s="39" t="s">
        <v>369</v>
      </c>
      <c r="H20" s="38">
        <v>5.5</v>
      </c>
      <c r="I20" s="38">
        <v>0</v>
      </c>
      <c r="J20" s="67">
        <v>100</v>
      </c>
    </row>
    <row r="21" s="26" customFormat="1" ht="29" customHeight="1" spans="1:10">
      <c r="A21" s="36"/>
      <c r="B21" s="36"/>
      <c r="C21" s="36"/>
      <c r="D21" s="36"/>
      <c r="E21" s="37" t="s">
        <v>218</v>
      </c>
      <c r="F21" s="38">
        <v>1264.6</v>
      </c>
      <c r="G21" s="39" t="s">
        <v>369</v>
      </c>
      <c r="H21" s="38">
        <v>1264.6</v>
      </c>
      <c r="I21" s="38">
        <v>0</v>
      </c>
      <c r="J21" s="67">
        <v>100</v>
      </c>
    </row>
    <row r="22" s="26" customFormat="1" ht="29" customHeight="1" spans="1:10">
      <c r="A22" s="36"/>
      <c r="B22" s="36"/>
      <c r="C22" s="36"/>
      <c r="D22" s="36"/>
      <c r="E22" s="37" t="s">
        <v>218</v>
      </c>
      <c r="F22" s="38">
        <v>249.9</v>
      </c>
      <c r="G22" s="39" t="s">
        <v>374</v>
      </c>
      <c r="H22" s="38">
        <v>249.9</v>
      </c>
      <c r="I22" s="38">
        <v>0</v>
      </c>
      <c r="J22" s="67">
        <v>100</v>
      </c>
    </row>
    <row r="23" s="26" customFormat="1" ht="29" customHeight="1" spans="1:10">
      <c r="A23" s="40" t="s">
        <v>378</v>
      </c>
      <c r="B23" s="40"/>
      <c r="C23" s="40"/>
      <c r="D23" s="40"/>
      <c r="E23" s="40"/>
      <c r="F23" s="41">
        <v>9834</v>
      </c>
      <c r="G23" s="41">
        <f>SUM(G5:G19)</f>
        <v>0</v>
      </c>
      <c r="H23" s="41">
        <v>9448.51119</v>
      </c>
      <c r="I23" s="41">
        <v>385.48881</v>
      </c>
      <c r="J23" s="41">
        <v>96.0800405735204</v>
      </c>
    </row>
    <row r="24" ht="46" customHeight="1" spans="1:10">
      <c r="A24" s="36" t="s">
        <v>379</v>
      </c>
      <c r="B24" s="36">
        <v>7108</v>
      </c>
      <c r="C24" s="36" t="s">
        <v>380</v>
      </c>
      <c r="D24" s="36" t="s">
        <v>381</v>
      </c>
      <c r="E24" s="42" t="s">
        <v>367</v>
      </c>
      <c r="F24" s="43">
        <v>175</v>
      </c>
      <c r="G24" s="44" t="s">
        <v>382</v>
      </c>
      <c r="H24" s="45">
        <v>175</v>
      </c>
      <c r="I24" s="45">
        <v>0</v>
      </c>
      <c r="J24" s="45">
        <v>100</v>
      </c>
    </row>
    <row r="25" ht="46" customHeight="1" spans="1:10">
      <c r="A25" s="36"/>
      <c r="B25" s="36"/>
      <c r="C25" s="36"/>
      <c r="D25" s="36"/>
      <c r="E25" s="42" t="s">
        <v>364</v>
      </c>
      <c r="F25" s="43">
        <v>207.95</v>
      </c>
      <c r="G25" s="44" t="s">
        <v>365</v>
      </c>
      <c r="H25" s="45">
        <v>131.559685</v>
      </c>
      <c r="I25" s="45">
        <v>76.390315</v>
      </c>
      <c r="J25" s="45">
        <v>63.2650565039673</v>
      </c>
    </row>
    <row r="26" ht="46" customHeight="1" spans="1:10">
      <c r="A26" s="36"/>
      <c r="B26" s="36"/>
      <c r="C26" s="36"/>
      <c r="D26" s="36"/>
      <c r="E26" s="42" t="s">
        <v>383</v>
      </c>
      <c r="F26" s="43">
        <v>50</v>
      </c>
      <c r="G26" s="44" t="s">
        <v>384</v>
      </c>
      <c r="H26" s="45">
        <v>50</v>
      </c>
      <c r="I26" s="45">
        <v>0</v>
      </c>
      <c r="J26" s="45">
        <v>100</v>
      </c>
    </row>
    <row r="27" ht="46" customHeight="1" spans="1:10">
      <c r="A27" s="36"/>
      <c r="B27" s="36"/>
      <c r="C27" s="36"/>
      <c r="D27" s="36"/>
      <c r="E27" s="42" t="s">
        <v>383</v>
      </c>
      <c r="F27" s="43">
        <v>200</v>
      </c>
      <c r="G27" s="44" t="s">
        <v>232</v>
      </c>
      <c r="H27" s="45">
        <v>200</v>
      </c>
      <c r="I27" s="45">
        <v>0</v>
      </c>
      <c r="J27" s="45">
        <v>100</v>
      </c>
    </row>
    <row r="28" ht="46" customHeight="1" spans="1:10">
      <c r="A28" s="36"/>
      <c r="B28" s="36"/>
      <c r="C28" s="36"/>
      <c r="D28" s="36"/>
      <c r="E28" s="42" t="s">
        <v>37</v>
      </c>
      <c r="F28" s="43">
        <v>700</v>
      </c>
      <c r="G28" s="44" t="s">
        <v>232</v>
      </c>
      <c r="H28" s="45">
        <v>700</v>
      </c>
      <c r="I28" s="45">
        <v>0</v>
      </c>
      <c r="J28" s="45">
        <v>100</v>
      </c>
    </row>
    <row r="29" ht="46" customHeight="1" spans="1:10">
      <c r="A29" s="36"/>
      <c r="B29" s="36"/>
      <c r="C29" s="36"/>
      <c r="D29" s="36"/>
      <c r="E29" s="42" t="s">
        <v>150</v>
      </c>
      <c r="F29" s="43">
        <v>2400</v>
      </c>
      <c r="G29" s="44" t="s">
        <v>232</v>
      </c>
      <c r="H29" s="45">
        <v>2400</v>
      </c>
      <c r="I29" s="45">
        <v>0</v>
      </c>
      <c r="J29" s="45">
        <v>100</v>
      </c>
    </row>
    <row r="30" ht="46" customHeight="1" spans="1:10">
      <c r="A30" s="36"/>
      <c r="B30" s="36"/>
      <c r="C30" s="36"/>
      <c r="D30" s="36"/>
      <c r="E30" s="42" t="s">
        <v>37</v>
      </c>
      <c r="F30" s="43">
        <v>846.25</v>
      </c>
      <c r="G30" s="44" t="s">
        <v>385</v>
      </c>
      <c r="H30" s="45">
        <v>846.25</v>
      </c>
      <c r="I30" s="45">
        <v>0</v>
      </c>
      <c r="J30" s="45">
        <v>100</v>
      </c>
    </row>
    <row r="31" s="27" customFormat="1" ht="46" customHeight="1" spans="1:10">
      <c r="A31" s="46"/>
      <c r="B31" s="46"/>
      <c r="C31" s="46"/>
      <c r="D31" s="46"/>
      <c r="E31" s="42" t="s">
        <v>364</v>
      </c>
      <c r="F31" s="47">
        <v>2528.8</v>
      </c>
      <c r="G31" s="48" t="s">
        <v>386</v>
      </c>
      <c r="H31" s="49">
        <v>2220.347251</v>
      </c>
      <c r="I31" s="49">
        <v>308.452749</v>
      </c>
      <c r="J31" s="49">
        <v>87.8024063192028</v>
      </c>
    </row>
    <row r="32" ht="46" customHeight="1" spans="1:10">
      <c r="A32" s="36" t="s">
        <v>387</v>
      </c>
      <c r="B32" s="36">
        <v>1128</v>
      </c>
      <c r="C32" s="36" t="s">
        <v>388</v>
      </c>
      <c r="D32" s="36"/>
      <c r="E32" s="42" t="s">
        <v>150</v>
      </c>
      <c r="F32" s="43">
        <v>700</v>
      </c>
      <c r="G32" s="42" t="s">
        <v>143</v>
      </c>
      <c r="H32" s="45">
        <v>700</v>
      </c>
      <c r="I32" s="45">
        <v>0</v>
      </c>
      <c r="J32" s="45">
        <v>100</v>
      </c>
    </row>
    <row r="33" ht="46" customHeight="1" spans="1:10">
      <c r="A33" s="36"/>
      <c r="B33" s="36"/>
      <c r="C33" s="36"/>
      <c r="D33" s="36"/>
      <c r="E33" s="42" t="s">
        <v>218</v>
      </c>
      <c r="F33" s="43">
        <v>428</v>
      </c>
      <c r="G33" s="42" t="s">
        <v>369</v>
      </c>
      <c r="H33" s="45">
        <v>428</v>
      </c>
      <c r="I33" s="45">
        <v>0</v>
      </c>
      <c r="J33" s="45">
        <v>100</v>
      </c>
    </row>
    <row r="34" ht="46" customHeight="1" spans="1:10">
      <c r="A34" s="50" t="s">
        <v>378</v>
      </c>
      <c r="B34" s="50"/>
      <c r="C34" s="50"/>
      <c r="D34" s="50"/>
      <c r="E34" s="50"/>
      <c r="F34" s="51">
        <v>8236</v>
      </c>
      <c r="G34" s="51">
        <f>SUM(G24:G31)</f>
        <v>0</v>
      </c>
      <c r="H34" s="51">
        <v>7851.156936</v>
      </c>
      <c r="I34" s="51">
        <v>384.843064</v>
      </c>
      <c r="J34" s="52">
        <v>95.3273061680428</v>
      </c>
    </row>
    <row r="35" ht="46" customHeight="1" spans="1:10">
      <c r="A35" s="50" t="s">
        <v>389</v>
      </c>
      <c r="B35" s="50"/>
      <c r="C35" s="50"/>
      <c r="D35" s="50"/>
      <c r="E35" s="50"/>
      <c r="F35" s="51">
        <v>18070</v>
      </c>
      <c r="G35" s="51"/>
      <c r="H35" s="52">
        <v>17299.668126</v>
      </c>
      <c r="I35" s="52">
        <v>770.331874</v>
      </c>
      <c r="J35" s="52">
        <v>95.7369569784173</v>
      </c>
    </row>
    <row r="36" ht="26.5" customHeight="1" spans="1:10">
      <c r="A36" s="53" t="s">
        <v>390</v>
      </c>
      <c r="B36" s="53">
        <v>2632</v>
      </c>
      <c r="C36" s="36" t="s">
        <v>391</v>
      </c>
      <c r="D36" s="53" t="s">
        <v>392</v>
      </c>
      <c r="E36" s="42" t="s">
        <v>383</v>
      </c>
      <c r="F36" s="43">
        <v>377.48</v>
      </c>
      <c r="G36" s="42" t="s">
        <v>393</v>
      </c>
      <c r="H36" s="43">
        <v>377.48</v>
      </c>
      <c r="I36" s="45">
        <v>0</v>
      </c>
      <c r="J36" s="45">
        <v>100</v>
      </c>
    </row>
    <row r="37" ht="26.5" customHeight="1" spans="1:10">
      <c r="A37" s="54"/>
      <c r="B37" s="54"/>
      <c r="C37" s="36"/>
      <c r="D37" s="54"/>
      <c r="E37" s="42" t="s">
        <v>383</v>
      </c>
      <c r="F37" s="43">
        <v>200</v>
      </c>
      <c r="G37" s="42" t="s">
        <v>394</v>
      </c>
      <c r="H37" s="51"/>
      <c r="I37" s="45">
        <v>200</v>
      </c>
      <c r="J37" s="45">
        <v>0</v>
      </c>
    </row>
    <row r="38" ht="26.5" customHeight="1" spans="1:10">
      <c r="A38" s="54"/>
      <c r="B38" s="54"/>
      <c r="C38" s="36"/>
      <c r="D38" s="54"/>
      <c r="E38" s="42" t="s">
        <v>150</v>
      </c>
      <c r="F38" s="43">
        <v>42.07</v>
      </c>
      <c r="G38" s="42" t="s">
        <v>220</v>
      </c>
      <c r="H38" s="51">
        <v>42.07</v>
      </c>
      <c r="I38" s="45">
        <v>0</v>
      </c>
      <c r="J38" s="45">
        <v>100</v>
      </c>
    </row>
    <row r="39" ht="26.5" customHeight="1" spans="1:10">
      <c r="A39" s="54"/>
      <c r="B39" s="54"/>
      <c r="C39" s="36"/>
      <c r="D39" s="54"/>
      <c r="E39" s="42" t="s">
        <v>364</v>
      </c>
      <c r="F39" s="43">
        <v>94.95</v>
      </c>
      <c r="G39" s="42" t="s">
        <v>369</v>
      </c>
      <c r="H39" s="51">
        <v>94.2946</v>
      </c>
      <c r="I39" s="45">
        <v>0.6554</v>
      </c>
      <c r="J39" s="45">
        <v>99.3097419694576</v>
      </c>
    </row>
    <row r="40" ht="26.5" customHeight="1" spans="1:10">
      <c r="A40" s="54"/>
      <c r="B40" s="54"/>
      <c r="C40" s="36"/>
      <c r="D40" s="54"/>
      <c r="E40" s="42" t="s">
        <v>364</v>
      </c>
      <c r="F40" s="43">
        <v>1891.2</v>
      </c>
      <c r="G40" s="42" t="s">
        <v>386</v>
      </c>
      <c r="H40" s="45">
        <v>1870.56</v>
      </c>
      <c r="I40" s="45">
        <v>20.6400000000001</v>
      </c>
      <c r="J40" s="45">
        <v>98.9086294416244</v>
      </c>
    </row>
    <row r="41" ht="26.5" customHeight="1" spans="1:10">
      <c r="A41" s="55"/>
      <c r="B41" s="55"/>
      <c r="C41" s="36"/>
      <c r="D41" s="54"/>
      <c r="E41" s="42" t="s">
        <v>364</v>
      </c>
      <c r="F41" s="43">
        <v>26.3</v>
      </c>
      <c r="G41" s="42" t="s">
        <v>260</v>
      </c>
      <c r="H41" s="43">
        <v>26.3</v>
      </c>
      <c r="I41" s="45">
        <v>0</v>
      </c>
      <c r="J41" s="45">
        <v>100</v>
      </c>
    </row>
    <row r="42" s="28" customFormat="1" ht="26.5" customHeight="1" spans="1:10">
      <c r="A42" s="53" t="s">
        <v>395</v>
      </c>
      <c r="B42" s="53">
        <v>241</v>
      </c>
      <c r="C42" s="36" t="s">
        <v>396</v>
      </c>
      <c r="D42" s="54"/>
      <c r="E42" s="42" t="s">
        <v>150</v>
      </c>
      <c r="F42" s="43">
        <v>100.1</v>
      </c>
      <c r="G42" s="42" t="s">
        <v>397</v>
      </c>
      <c r="H42" s="45">
        <v>100.1</v>
      </c>
      <c r="I42" s="43">
        <v>0</v>
      </c>
      <c r="J42" s="45">
        <v>100</v>
      </c>
    </row>
    <row r="43" s="28" customFormat="1" ht="26.5" customHeight="1" spans="1:10">
      <c r="A43" s="54"/>
      <c r="B43" s="54"/>
      <c r="C43" s="36"/>
      <c r="D43" s="54"/>
      <c r="E43" s="42" t="s">
        <v>218</v>
      </c>
      <c r="F43" s="43">
        <v>126.5</v>
      </c>
      <c r="G43" s="42" t="s">
        <v>398</v>
      </c>
      <c r="H43" s="52">
        <v>126.5</v>
      </c>
      <c r="I43" s="43">
        <v>0</v>
      </c>
      <c r="J43" s="45">
        <v>100</v>
      </c>
    </row>
    <row r="44" s="28" customFormat="1" ht="26.5" customHeight="1" spans="1:10">
      <c r="A44" s="54"/>
      <c r="B44" s="54"/>
      <c r="C44" s="36"/>
      <c r="D44" s="54"/>
      <c r="E44" s="42" t="s">
        <v>37</v>
      </c>
      <c r="F44" s="43">
        <v>12</v>
      </c>
      <c r="G44" s="56" t="s">
        <v>399</v>
      </c>
      <c r="H44" s="52">
        <v>2.65</v>
      </c>
      <c r="I44" s="43">
        <v>9.35</v>
      </c>
      <c r="J44" s="45">
        <v>22.0833333333333</v>
      </c>
    </row>
    <row r="45" s="28" customFormat="1" ht="26.5" customHeight="1" spans="1:10">
      <c r="A45" s="54"/>
      <c r="B45" s="54"/>
      <c r="C45" s="36"/>
      <c r="D45" s="54"/>
      <c r="E45" s="42" t="s">
        <v>364</v>
      </c>
      <c r="F45" s="43">
        <v>2.4</v>
      </c>
      <c r="G45" s="42" t="s">
        <v>260</v>
      </c>
      <c r="H45" s="43">
        <v>2.4</v>
      </c>
      <c r="I45" s="43">
        <v>0</v>
      </c>
      <c r="J45" s="45">
        <v>100</v>
      </c>
    </row>
    <row r="46" s="28" customFormat="1" ht="26.5" customHeight="1" spans="1:10">
      <c r="A46" s="57" t="s">
        <v>66</v>
      </c>
      <c r="B46" s="58"/>
      <c r="C46" s="58"/>
      <c r="D46" s="58"/>
      <c r="E46" s="59"/>
      <c r="F46" s="51">
        <f>SUM(F36:F45)</f>
        <v>2873</v>
      </c>
      <c r="G46" s="51"/>
      <c r="H46" s="52">
        <v>2642.3546</v>
      </c>
      <c r="I46" s="52">
        <v>230.6454</v>
      </c>
      <c r="J46" s="52">
        <v>91.9719665854507</v>
      </c>
    </row>
    <row r="47" ht="26.5" customHeight="1" spans="1:10">
      <c r="A47" s="53" t="s">
        <v>400</v>
      </c>
      <c r="B47" s="36">
        <v>3310</v>
      </c>
      <c r="C47" s="36" t="s">
        <v>401</v>
      </c>
      <c r="D47" s="36" t="s">
        <v>402</v>
      </c>
      <c r="E47" s="44" t="s">
        <v>367</v>
      </c>
      <c r="F47" s="43">
        <v>825</v>
      </c>
      <c r="G47" s="44" t="s">
        <v>382</v>
      </c>
      <c r="H47" s="45">
        <v>824.726</v>
      </c>
      <c r="I47" s="45">
        <v>0.274000000000001</v>
      </c>
      <c r="J47" s="45">
        <v>99.9667878787879</v>
      </c>
    </row>
    <row r="48" ht="26.5" customHeight="1" spans="1:10">
      <c r="A48" s="54"/>
      <c r="B48" s="36"/>
      <c r="C48" s="36"/>
      <c r="D48" s="36"/>
      <c r="E48" s="44" t="s">
        <v>383</v>
      </c>
      <c r="F48" s="43">
        <v>45</v>
      </c>
      <c r="G48" s="44" t="s">
        <v>403</v>
      </c>
      <c r="H48" s="49"/>
      <c r="I48" s="45">
        <v>45</v>
      </c>
      <c r="J48" s="45">
        <v>0</v>
      </c>
    </row>
    <row r="49" ht="26.5" customHeight="1" spans="1:10">
      <c r="A49" s="54"/>
      <c r="B49" s="36"/>
      <c r="C49" s="36"/>
      <c r="D49" s="36"/>
      <c r="E49" s="44" t="s">
        <v>150</v>
      </c>
      <c r="F49" s="43">
        <v>250</v>
      </c>
      <c r="G49" s="44" t="s">
        <v>404</v>
      </c>
      <c r="H49" s="49">
        <v>250</v>
      </c>
      <c r="I49" s="45">
        <v>0</v>
      </c>
      <c r="J49" s="45">
        <v>100</v>
      </c>
    </row>
    <row r="50" ht="26.5" customHeight="1" spans="1:10">
      <c r="A50" s="54"/>
      <c r="B50" s="36"/>
      <c r="C50" s="36"/>
      <c r="D50" s="36"/>
      <c r="E50" s="44" t="s">
        <v>150</v>
      </c>
      <c r="F50" s="43">
        <v>399.9</v>
      </c>
      <c r="G50" s="44" t="s">
        <v>397</v>
      </c>
      <c r="H50" s="49">
        <v>399.9</v>
      </c>
      <c r="I50" s="45">
        <v>0</v>
      </c>
      <c r="J50" s="45">
        <v>100</v>
      </c>
    </row>
    <row r="51" ht="26.5" customHeight="1" spans="1:10">
      <c r="A51" s="54"/>
      <c r="B51" s="36"/>
      <c r="C51" s="36"/>
      <c r="D51" s="36"/>
      <c r="E51" s="44" t="s">
        <v>37</v>
      </c>
      <c r="F51" s="43">
        <v>170</v>
      </c>
      <c r="G51" s="44" t="s">
        <v>399</v>
      </c>
      <c r="H51" s="49">
        <v>167.8522</v>
      </c>
      <c r="I51" s="45">
        <v>2.14779999999999</v>
      </c>
      <c r="J51" s="45">
        <v>98.7365882352941</v>
      </c>
    </row>
    <row r="52" ht="26.5" customHeight="1" spans="1:10">
      <c r="A52" s="54"/>
      <c r="B52" s="36"/>
      <c r="C52" s="36"/>
      <c r="D52" s="36"/>
      <c r="E52" s="44" t="s">
        <v>150</v>
      </c>
      <c r="F52" s="43">
        <v>1587</v>
      </c>
      <c r="G52" s="44" t="s">
        <v>363</v>
      </c>
      <c r="H52" s="49">
        <v>1532.95</v>
      </c>
      <c r="I52" s="45">
        <v>54.05</v>
      </c>
      <c r="J52" s="45">
        <v>96.5942028985507</v>
      </c>
    </row>
    <row r="53" ht="26.5" customHeight="1" spans="1:10">
      <c r="A53" s="54"/>
      <c r="B53" s="36"/>
      <c r="C53" s="36"/>
      <c r="D53" s="36"/>
      <c r="E53" s="44" t="s">
        <v>364</v>
      </c>
      <c r="F53" s="43">
        <v>33.1</v>
      </c>
      <c r="G53" s="44" t="s">
        <v>260</v>
      </c>
      <c r="H53" s="45">
        <v>33.1</v>
      </c>
      <c r="I53" s="45">
        <v>0</v>
      </c>
      <c r="J53" s="45">
        <v>100</v>
      </c>
    </row>
    <row r="54" customFormat="1" ht="36" customHeight="1" spans="1:10">
      <c r="A54" s="55"/>
      <c r="B54" s="36">
        <v>50</v>
      </c>
      <c r="C54" s="36" t="s">
        <v>405</v>
      </c>
      <c r="D54" s="36" t="s">
        <v>402</v>
      </c>
      <c r="E54" s="44" t="s">
        <v>364</v>
      </c>
      <c r="F54" s="43">
        <v>50</v>
      </c>
      <c r="G54" s="44" t="s">
        <v>263</v>
      </c>
      <c r="H54" s="45">
        <v>49.95</v>
      </c>
      <c r="I54" s="45">
        <v>0.0499999999999972</v>
      </c>
      <c r="J54" s="45">
        <v>99.9</v>
      </c>
    </row>
    <row r="55" s="28" customFormat="1" ht="26.5" customHeight="1" spans="1:10">
      <c r="A55" s="50" t="s">
        <v>66</v>
      </c>
      <c r="B55" s="50"/>
      <c r="C55" s="50"/>
      <c r="D55" s="50"/>
      <c r="E55" s="50"/>
      <c r="F55" s="51">
        <v>3360</v>
      </c>
      <c r="G55" s="60"/>
      <c r="H55" s="51">
        <v>3208.5282</v>
      </c>
      <c r="I55" s="52">
        <v>151.4718</v>
      </c>
      <c r="J55" s="52">
        <v>95.4919107142857</v>
      </c>
    </row>
    <row r="56" ht="26.5" customHeight="1" spans="1:10">
      <c r="A56" s="61" t="s">
        <v>27</v>
      </c>
      <c r="B56" s="62">
        <v>24303</v>
      </c>
      <c r="C56" s="63"/>
      <c r="D56" s="63"/>
      <c r="E56" s="63"/>
      <c r="F56" s="64"/>
      <c r="G56" s="52">
        <f>G23+G34</f>
        <v>0</v>
      </c>
      <c r="H56" s="52">
        <v>23150.550926</v>
      </c>
      <c r="I56" s="52">
        <v>1152.449074</v>
      </c>
      <c r="J56" s="52">
        <v>95.2579966506193</v>
      </c>
    </row>
  </sheetData>
  <autoFilter ref="A1:J56">
    <extLst/>
  </autoFilter>
  <mergeCells count="45">
    <mergeCell ref="A1:J1"/>
    <mergeCell ref="A2:B2"/>
    <mergeCell ref="C2:H2"/>
    <mergeCell ref="I2:J2"/>
    <mergeCell ref="A23:E23"/>
    <mergeCell ref="A34:E34"/>
    <mergeCell ref="A35:E35"/>
    <mergeCell ref="A46:E46"/>
    <mergeCell ref="A55:E55"/>
    <mergeCell ref="B56:F56"/>
    <mergeCell ref="A3:A4"/>
    <mergeCell ref="A5:A19"/>
    <mergeCell ref="A20:A22"/>
    <mergeCell ref="A24:A31"/>
    <mergeCell ref="A32:A33"/>
    <mergeCell ref="A36:A41"/>
    <mergeCell ref="A42:A45"/>
    <mergeCell ref="A47:A54"/>
    <mergeCell ref="B3:B4"/>
    <mergeCell ref="B5:B19"/>
    <mergeCell ref="B20:B22"/>
    <mergeCell ref="B24:B31"/>
    <mergeCell ref="B32:B33"/>
    <mergeCell ref="B36:B41"/>
    <mergeCell ref="B42:B45"/>
    <mergeCell ref="B47:B53"/>
    <mergeCell ref="C3:C4"/>
    <mergeCell ref="C5:C19"/>
    <mergeCell ref="C20:C22"/>
    <mergeCell ref="C24:C31"/>
    <mergeCell ref="C32:C33"/>
    <mergeCell ref="C36:C41"/>
    <mergeCell ref="C42:C45"/>
    <mergeCell ref="C47:C53"/>
    <mergeCell ref="D3:D4"/>
    <mergeCell ref="D5:D22"/>
    <mergeCell ref="D24:D33"/>
    <mergeCell ref="D36:D45"/>
    <mergeCell ref="D47:D53"/>
    <mergeCell ref="E3:E4"/>
    <mergeCell ref="F3:F4"/>
    <mergeCell ref="G3:G4"/>
    <mergeCell ref="H3:H4"/>
    <mergeCell ref="I3:I4"/>
    <mergeCell ref="J3:J4"/>
  </mergeCells>
  <pageMargins left="0.609722222222222" right="0.354166666666667" top="0.393055555555556" bottom="0.393055555555556" header="0.511805555555556" footer="0.511805555555556"/>
  <pageSetup paperSize="9" scale="80" fitToHeight="0" orientation="landscape" horizontalDpi="600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showZeros="0" zoomScale="85" zoomScaleNormal="85" workbookViewId="0">
      <pane xSplit="1" ySplit="5" topLeftCell="B6" activePane="bottomRight" state="frozen"/>
      <selection/>
      <selection pane="topRight"/>
      <selection pane="bottomLeft"/>
      <selection pane="bottomRight" activeCell="N14" sqref="N14"/>
    </sheetView>
  </sheetViews>
  <sheetFormatPr defaultColWidth="9" defaultRowHeight="14.25"/>
  <cols>
    <col min="1" max="1" width="26.475" customWidth="1"/>
    <col min="2" max="2" width="13.1833333333333" customWidth="1"/>
    <col min="3" max="3" width="38.0833333333333" customWidth="1"/>
    <col min="4" max="4" width="13.1916666666667" customWidth="1"/>
    <col min="5" max="5" width="14.825" customWidth="1"/>
    <col min="6" max="6" width="10.75" customWidth="1"/>
    <col min="7" max="7" width="13.025" customWidth="1"/>
    <col min="8" max="8" width="13.1916666666667" customWidth="1"/>
    <col min="9" max="9" width="12.25" customWidth="1"/>
    <col min="10" max="10" width="12.9166666666667" customWidth="1"/>
    <col min="11" max="11" width="13.1666666666667" customWidth="1"/>
    <col min="12" max="12" width="10.5916666666667" customWidth="1"/>
    <col min="13" max="13" width="11.25" customWidth="1"/>
    <col min="14" max="14" width="12.5" customWidth="1"/>
    <col min="15" max="15" width="12.15" customWidth="1"/>
    <col min="16" max="16" width="13.375" customWidth="1"/>
    <col min="17" max="20" width="13.375" hidden="1" customWidth="1"/>
    <col min="21" max="21" width="14.2666666666667" hidden="1" customWidth="1"/>
    <col min="22" max="22" width="12.625" hidden="1" customWidth="1"/>
    <col min="23" max="23" width="22.4916666666667" hidden="1" customWidth="1"/>
    <col min="24" max="24" width="9" hidden="1" customWidth="1"/>
  </cols>
  <sheetData>
    <row r="1" ht="87" customHeight="1" spans="1:20">
      <c r="A1" s="1" t="s">
        <v>406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" customHeight="1" spans="1:16">
      <c r="A2" s="2" t="s">
        <v>118</v>
      </c>
      <c r="B2" s="3"/>
      <c r="C2" s="4">
        <v>44089</v>
      </c>
      <c r="D2" s="4"/>
      <c r="E2" s="4"/>
      <c r="F2" s="4"/>
      <c r="G2" s="4"/>
      <c r="H2" s="4"/>
      <c r="I2" s="4"/>
      <c r="J2" s="4"/>
      <c r="K2" s="4"/>
      <c r="L2" s="16"/>
      <c r="M2" s="16"/>
      <c r="N2" s="16"/>
      <c r="O2" s="17" t="s">
        <v>3</v>
      </c>
      <c r="P2" s="17"/>
    </row>
    <row r="3" ht="30" customHeight="1" spans="1:20">
      <c r="A3" s="5" t="s">
        <v>134</v>
      </c>
      <c r="B3" s="5" t="s">
        <v>135</v>
      </c>
      <c r="C3" s="5" t="s">
        <v>62</v>
      </c>
      <c r="D3" s="6" t="s">
        <v>136</v>
      </c>
      <c r="E3" s="6" t="s">
        <v>137</v>
      </c>
      <c r="F3" s="6" t="s">
        <v>7</v>
      </c>
      <c r="G3" s="5" t="s">
        <v>65</v>
      </c>
      <c r="H3" s="5"/>
      <c r="I3" s="5"/>
      <c r="J3" s="5"/>
      <c r="K3" s="5"/>
      <c r="L3" s="5"/>
      <c r="M3" s="5"/>
      <c r="N3" s="5"/>
      <c r="O3" s="5"/>
      <c r="P3" s="5"/>
      <c r="T3" s="19" t="s">
        <v>321</v>
      </c>
    </row>
    <row r="4" ht="30" customHeight="1" spans="1:20">
      <c r="A4" s="5"/>
      <c r="B4" s="5"/>
      <c r="C4" s="5"/>
      <c r="D4" s="6"/>
      <c r="E4" s="6"/>
      <c r="F4" s="6"/>
      <c r="G4" s="5" t="s">
        <v>138</v>
      </c>
      <c r="H4" s="5" t="s">
        <v>139</v>
      </c>
      <c r="I4" s="5"/>
      <c r="J4" s="5"/>
      <c r="K4" s="5"/>
      <c r="L4" s="5"/>
      <c r="M4" s="5"/>
      <c r="N4" s="5"/>
      <c r="O4" s="18" t="s">
        <v>140</v>
      </c>
      <c r="P4" s="5" t="s">
        <v>141</v>
      </c>
      <c r="T4" s="19"/>
    </row>
    <row r="5" ht="30" customHeight="1" spans="1:22">
      <c r="A5" s="5"/>
      <c r="B5" s="5"/>
      <c r="C5" s="5"/>
      <c r="D5" s="6"/>
      <c r="E5" s="6"/>
      <c r="F5" s="6"/>
      <c r="G5" s="5"/>
      <c r="H5" s="5" t="s">
        <v>66</v>
      </c>
      <c r="I5" s="5" t="s">
        <v>142</v>
      </c>
      <c r="J5" s="5" t="s">
        <v>143</v>
      </c>
      <c r="K5" s="5" t="s">
        <v>144</v>
      </c>
      <c r="L5" s="6" t="s">
        <v>69</v>
      </c>
      <c r="M5" s="6" t="s">
        <v>145</v>
      </c>
      <c r="N5" s="5" t="s">
        <v>131</v>
      </c>
      <c r="O5" s="18"/>
      <c r="P5" s="5"/>
      <c r="Q5" s="20" t="s">
        <v>322</v>
      </c>
      <c r="R5" s="21" t="s">
        <v>323</v>
      </c>
      <c r="S5" s="21" t="s">
        <v>324</v>
      </c>
      <c r="T5" s="19"/>
      <c r="U5" s="21" t="s">
        <v>325</v>
      </c>
      <c r="V5" s="22" t="s">
        <v>326</v>
      </c>
    </row>
    <row r="6" ht="43" customHeight="1" spans="1:20">
      <c r="A6" s="7" t="s">
        <v>378</v>
      </c>
      <c r="B6" s="8">
        <f t="shared" ref="B6:T6" si="0">SUM(B7:B20)</f>
        <v>3580</v>
      </c>
      <c r="C6" s="8">
        <f t="shared" si="0"/>
        <v>0</v>
      </c>
      <c r="D6" s="9">
        <f t="shared" si="0"/>
        <v>2867.4808</v>
      </c>
      <c r="E6" s="9">
        <f t="shared" si="0"/>
        <v>712.5192</v>
      </c>
      <c r="F6" s="9">
        <f t="shared" ref="F6:F52" si="1">D6/B6*100</f>
        <v>80.0972290502793</v>
      </c>
      <c r="G6" s="9">
        <f t="shared" si="0"/>
        <v>2867.4808</v>
      </c>
      <c r="H6" s="9">
        <f t="shared" si="0"/>
        <v>1381.8708</v>
      </c>
      <c r="I6" s="9">
        <f t="shared" si="0"/>
        <v>514.9228</v>
      </c>
      <c r="J6" s="9">
        <f t="shared" si="0"/>
        <v>606</v>
      </c>
      <c r="K6" s="9">
        <f t="shared" si="0"/>
        <v>0</v>
      </c>
      <c r="L6" s="9">
        <f t="shared" si="0"/>
        <v>60.948</v>
      </c>
      <c r="M6" s="9">
        <f t="shared" si="0"/>
        <v>200</v>
      </c>
      <c r="N6" s="9">
        <f t="shared" si="0"/>
        <v>0</v>
      </c>
      <c r="O6" s="9">
        <f t="shared" si="0"/>
        <v>0</v>
      </c>
      <c r="P6" s="9">
        <f t="shared" si="0"/>
        <v>1485.61</v>
      </c>
      <c r="Q6" s="9">
        <f t="shared" si="0"/>
        <v>0</v>
      </c>
      <c r="R6" s="9">
        <f t="shared" si="0"/>
        <v>0</v>
      </c>
      <c r="S6" s="23">
        <f t="shared" si="0"/>
        <v>327.172</v>
      </c>
      <c r="T6" s="9">
        <f t="shared" si="0"/>
        <v>276.235</v>
      </c>
    </row>
    <row r="7" ht="32" customHeight="1" spans="1:22">
      <c r="A7" s="10" t="s">
        <v>150</v>
      </c>
      <c r="B7" s="11">
        <v>659</v>
      </c>
      <c r="C7" s="12" t="s">
        <v>167</v>
      </c>
      <c r="D7" s="13">
        <v>214.9228</v>
      </c>
      <c r="E7" s="13">
        <f t="shared" ref="E7:E20" si="2">B7-D7</f>
        <v>444.0772</v>
      </c>
      <c r="F7" s="13">
        <f t="shared" si="1"/>
        <v>32.6134749620637</v>
      </c>
      <c r="G7" s="14">
        <f t="shared" ref="G7:G20" si="3">H7+O7+P7</f>
        <v>214.9228</v>
      </c>
      <c r="H7" s="14">
        <f t="shared" ref="H7:H20" si="4">SUM(I7:N7)</f>
        <v>214.9228</v>
      </c>
      <c r="I7" s="13">
        <v>214.9228</v>
      </c>
      <c r="J7" s="13"/>
      <c r="K7" s="13"/>
      <c r="L7" s="13"/>
      <c r="M7" s="13"/>
      <c r="N7" s="13"/>
      <c r="O7" s="13"/>
      <c r="P7" s="13"/>
      <c r="T7" s="24"/>
      <c r="V7">
        <v>214.9228</v>
      </c>
    </row>
    <row r="8" ht="32" customHeight="1" spans="1:20">
      <c r="A8" s="10" t="s">
        <v>150</v>
      </c>
      <c r="B8" s="11">
        <v>300</v>
      </c>
      <c r="C8" s="15" t="s">
        <v>407</v>
      </c>
      <c r="D8" s="13">
        <v>300</v>
      </c>
      <c r="E8" s="13">
        <f t="shared" si="2"/>
        <v>0</v>
      </c>
      <c r="F8" s="13">
        <f t="shared" si="1"/>
        <v>100</v>
      </c>
      <c r="G8" s="14">
        <f t="shared" si="3"/>
        <v>300</v>
      </c>
      <c r="H8" s="14">
        <f t="shared" si="4"/>
        <v>300</v>
      </c>
      <c r="I8" s="13">
        <v>300</v>
      </c>
      <c r="J8" s="13"/>
      <c r="K8" s="13"/>
      <c r="L8" s="13"/>
      <c r="M8" s="13"/>
      <c r="N8" s="13"/>
      <c r="O8" s="13"/>
      <c r="P8" s="13"/>
      <c r="T8" s="24"/>
    </row>
    <row r="9" ht="32" customHeight="1" spans="1:20">
      <c r="A9" s="10" t="s">
        <v>37</v>
      </c>
      <c r="B9" s="11">
        <v>125</v>
      </c>
      <c r="C9" s="12" t="s">
        <v>168</v>
      </c>
      <c r="D9" s="13">
        <v>125</v>
      </c>
      <c r="E9" s="13">
        <f t="shared" si="2"/>
        <v>0</v>
      </c>
      <c r="F9" s="13">
        <f t="shared" si="1"/>
        <v>100</v>
      </c>
      <c r="G9" s="14">
        <f t="shared" si="3"/>
        <v>125</v>
      </c>
      <c r="H9" s="14">
        <f t="shared" si="4"/>
        <v>0</v>
      </c>
      <c r="I9" s="13"/>
      <c r="J9" s="13"/>
      <c r="K9" s="13"/>
      <c r="L9" s="13"/>
      <c r="M9" s="13"/>
      <c r="N9" s="13"/>
      <c r="O9" s="13"/>
      <c r="P9" s="13">
        <v>125</v>
      </c>
      <c r="T9" s="24"/>
    </row>
    <row r="10" ht="32" customHeight="1" spans="1:23">
      <c r="A10" s="10" t="s">
        <v>37</v>
      </c>
      <c r="B10" s="11">
        <v>60</v>
      </c>
      <c r="C10" s="15" t="s">
        <v>408</v>
      </c>
      <c r="D10" s="13">
        <f>2.34+1.62+0.79+1.81+2.91+3.95+5.12+0.56+0.96+8.7-2.91+7.36</f>
        <v>33.21</v>
      </c>
      <c r="E10" s="13">
        <f t="shared" si="2"/>
        <v>26.79</v>
      </c>
      <c r="F10" s="13">
        <f t="shared" si="1"/>
        <v>55.35</v>
      </c>
      <c r="G10" s="14">
        <f t="shared" si="3"/>
        <v>33.21</v>
      </c>
      <c r="H10" s="14">
        <f t="shared" si="4"/>
        <v>0</v>
      </c>
      <c r="I10" s="13"/>
      <c r="J10" s="13"/>
      <c r="K10" s="13"/>
      <c r="L10" s="13"/>
      <c r="M10" s="13"/>
      <c r="N10" s="13"/>
      <c r="O10" s="13"/>
      <c r="P10" s="13">
        <f>2.34+1.62+0.79+1.81+2.91+3.95+5.12+0.56+0.96+8.7-2.91+7.36</f>
        <v>33.21</v>
      </c>
      <c r="S10">
        <f>1.36+0.98+1.62</f>
        <v>3.96</v>
      </c>
      <c r="T10" s="25">
        <f>0.79+1.81+2.91+3.95</f>
        <v>9.46</v>
      </c>
      <c r="U10">
        <f>5.12+0.56+0.96+8.7-2.91</f>
        <v>12.43</v>
      </c>
      <c r="V10">
        <v>7.36</v>
      </c>
      <c r="W10">
        <v>258500</v>
      </c>
    </row>
    <row r="11" ht="32" customHeight="1" spans="1:21">
      <c r="A11" s="10" t="s">
        <v>191</v>
      </c>
      <c r="B11" s="11">
        <v>50</v>
      </c>
      <c r="C11" s="15" t="s">
        <v>169</v>
      </c>
      <c r="D11" s="13">
        <f>49.95+0.05</f>
        <v>50</v>
      </c>
      <c r="E11" s="13">
        <f t="shared" si="2"/>
        <v>0</v>
      </c>
      <c r="F11" s="13">
        <f t="shared" si="1"/>
        <v>100</v>
      </c>
      <c r="G11" s="14">
        <f t="shared" si="3"/>
        <v>50</v>
      </c>
      <c r="H11" s="14">
        <f t="shared" si="4"/>
        <v>0</v>
      </c>
      <c r="I11" s="13"/>
      <c r="J11" s="13"/>
      <c r="K11" s="13"/>
      <c r="L11" s="13"/>
      <c r="M11" s="13"/>
      <c r="N11" s="13"/>
      <c r="O11" s="13"/>
      <c r="P11" s="13">
        <f>49.95+0.05</f>
        <v>50</v>
      </c>
      <c r="S11">
        <v>49.95</v>
      </c>
      <c r="T11" s="24"/>
      <c r="U11">
        <v>0.05</v>
      </c>
    </row>
    <row r="12" ht="32" customHeight="1" spans="1:20">
      <c r="A12" s="10" t="s">
        <v>37</v>
      </c>
      <c r="B12" s="11">
        <v>250</v>
      </c>
      <c r="C12" s="15" t="s">
        <v>163</v>
      </c>
      <c r="D12" s="13">
        <f>100+100</f>
        <v>200</v>
      </c>
      <c r="E12" s="13">
        <f t="shared" si="2"/>
        <v>50</v>
      </c>
      <c r="F12" s="13">
        <f t="shared" si="1"/>
        <v>80</v>
      </c>
      <c r="G12" s="14">
        <f t="shared" si="3"/>
        <v>200</v>
      </c>
      <c r="H12" s="14">
        <f t="shared" si="4"/>
        <v>200</v>
      </c>
      <c r="I12" s="13"/>
      <c r="J12" s="13"/>
      <c r="K12" s="13"/>
      <c r="L12" s="13"/>
      <c r="M12" s="13">
        <v>200</v>
      </c>
      <c r="N12" s="13"/>
      <c r="O12" s="13"/>
      <c r="P12" s="13"/>
      <c r="S12">
        <v>100</v>
      </c>
      <c r="T12" s="24"/>
    </row>
    <row r="13" ht="32" customHeight="1" spans="1:20">
      <c r="A13" s="10" t="s">
        <v>191</v>
      </c>
      <c r="B13" s="11">
        <v>100</v>
      </c>
      <c r="C13" s="15" t="s">
        <v>192</v>
      </c>
      <c r="D13" s="13">
        <v>47.4</v>
      </c>
      <c r="E13" s="13">
        <f t="shared" si="2"/>
        <v>52.6</v>
      </c>
      <c r="F13" s="13">
        <f t="shared" si="1"/>
        <v>47.4</v>
      </c>
      <c r="G13" s="14">
        <f t="shared" si="3"/>
        <v>47.4</v>
      </c>
      <c r="H13" s="14">
        <f t="shared" si="4"/>
        <v>0</v>
      </c>
      <c r="I13" s="13"/>
      <c r="J13" s="13"/>
      <c r="K13" s="13"/>
      <c r="L13" s="13"/>
      <c r="M13" s="13"/>
      <c r="N13" s="13"/>
      <c r="O13" s="13"/>
      <c r="P13" s="13">
        <v>47.4</v>
      </c>
      <c r="T13" s="25">
        <v>47.4</v>
      </c>
    </row>
    <row r="14" ht="32" customHeight="1" spans="1:22">
      <c r="A14" s="10" t="s">
        <v>313</v>
      </c>
      <c r="B14" s="11">
        <v>50</v>
      </c>
      <c r="C14" s="15" t="s">
        <v>409</v>
      </c>
      <c r="D14" s="13">
        <v>4.788</v>
      </c>
      <c r="E14" s="13">
        <f t="shared" si="2"/>
        <v>45.212</v>
      </c>
      <c r="F14" s="13">
        <f t="shared" si="1"/>
        <v>9.576</v>
      </c>
      <c r="G14" s="14">
        <f t="shared" si="3"/>
        <v>4.788</v>
      </c>
      <c r="H14" s="14">
        <f t="shared" si="4"/>
        <v>4.788</v>
      </c>
      <c r="I14" s="13"/>
      <c r="J14" s="13"/>
      <c r="K14" s="13"/>
      <c r="L14" s="13">
        <v>4.788</v>
      </c>
      <c r="M14" s="13"/>
      <c r="N14" s="13"/>
      <c r="O14" s="13"/>
      <c r="P14" s="13"/>
      <c r="T14" s="24"/>
      <c r="V14">
        <v>4.788</v>
      </c>
    </row>
    <row r="15" ht="32" customHeight="1" spans="1:20">
      <c r="A15" s="10" t="s">
        <v>197</v>
      </c>
      <c r="B15" s="11">
        <v>500</v>
      </c>
      <c r="C15" s="15" t="s">
        <v>410</v>
      </c>
      <c r="D15" s="13">
        <v>500</v>
      </c>
      <c r="E15" s="13">
        <f t="shared" si="2"/>
        <v>0</v>
      </c>
      <c r="F15" s="13">
        <f t="shared" si="1"/>
        <v>100</v>
      </c>
      <c r="G15" s="14">
        <f t="shared" si="3"/>
        <v>500</v>
      </c>
      <c r="H15" s="14">
        <f t="shared" si="4"/>
        <v>0</v>
      </c>
      <c r="I15" s="13"/>
      <c r="J15" s="13"/>
      <c r="K15" s="13"/>
      <c r="L15" s="13"/>
      <c r="M15" s="13"/>
      <c r="N15" s="13"/>
      <c r="O15" s="13"/>
      <c r="P15" s="13">
        <v>500</v>
      </c>
      <c r="T15" s="24"/>
    </row>
    <row r="16" ht="32" customHeight="1" spans="1:23">
      <c r="A16" s="10" t="s">
        <v>313</v>
      </c>
      <c r="B16" s="11">
        <v>100</v>
      </c>
      <c r="C16" s="15" t="s">
        <v>411</v>
      </c>
      <c r="D16" s="13">
        <f>10+39.325+6.835</f>
        <v>56.16</v>
      </c>
      <c r="E16" s="13">
        <f t="shared" si="2"/>
        <v>43.84</v>
      </c>
      <c r="F16" s="13">
        <f t="shared" si="1"/>
        <v>56.16</v>
      </c>
      <c r="G16" s="14">
        <f t="shared" si="3"/>
        <v>56.16</v>
      </c>
      <c r="H16" s="14">
        <f t="shared" si="4"/>
        <v>56.16</v>
      </c>
      <c r="I16" s="13"/>
      <c r="J16" s="13"/>
      <c r="K16" s="13"/>
      <c r="L16" s="13">
        <f>10+39.325+6.835</f>
        <v>56.16</v>
      </c>
      <c r="M16" s="13"/>
      <c r="N16" s="13"/>
      <c r="O16" s="13"/>
      <c r="P16" s="13"/>
      <c r="T16" s="24">
        <v>10</v>
      </c>
      <c r="U16">
        <v>39.325</v>
      </c>
      <c r="V16">
        <v>6.835</v>
      </c>
      <c r="W16">
        <v>493250</v>
      </c>
    </row>
    <row r="17" ht="32" customHeight="1" spans="1:20">
      <c r="A17" s="10" t="s">
        <v>315</v>
      </c>
      <c r="B17" s="11">
        <v>30</v>
      </c>
      <c r="C17" s="15" t="s">
        <v>412</v>
      </c>
      <c r="D17" s="13">
        <v>30</v>
      </c>
      <c r="E17" s="13">
        <f t="shared" si="2"/>
        <v>0</v>
      </c>
      <c r="F17" s="13">
        <f t="shared" si="1"/>
        <v>100</v>
      </c>
      <c r="G17" s="14">
        <f t="shared" si="3"/>
        <v>30</v>
      </c>
      <c r="H17" s="14">
        <f t="shared" si="4"/>
        <v>0</v>
      </c>
      <c r="I17" s="13"/>
      <c r="J17" s="13"/>
      <c r="K17" s="13"/>
      <c r="L17" s="13"/>
      <c r="M17" s="13"/>
      <c r="N17" s="13"/>
      <c r="O17" s="13"/>
      <c r="P17" s="13">
        <v>30</v>
      </c>
      <c r="T17" s="24"/>
    </row>
    <row r="18" ht="32" customHeight="1" spans="1:20">
      <c r="A18" s="10" t="s">
        <v>33</v>
      </c>
      <c r="B18" s="11">
        <v>50</v>
      </c>
      <c r="C18" s="15" t="s">
        <v>413</v>
      </c>
      <c r="D18" s="13"/>
      <c r="E18" s="13">
        <f t="shared" si="2"/>
        <v>50</v>
      </c>
      <c r="F18" s="13">
        <f t="shared" si="1"/>
        <v>0</v>
      </c>
      <c r="G18" s="14">
        <f t="shared" si="3"/>
        <v>0</v>
      </c>
      <c r="H18" s="14">
        <f t="shared" si="4"/>
        <v>0</v>
      </c>
      <c r="I18" s="13"/>
      <c r="J18" s="13"/>
      <c r="K18" s="13"/>
      <c r="L18" s="13"/>
      <c r="M18" s="13"/>
      <c r="N18" s="13"/>
      <c r="O18" s="13"/>
      <c r="P18" s="13"/>
      <c r="T18" s="24"/>
    </row>
    <row r="19" ht="32" customHeight="1" spans="1:23">
      <c r="A19" s="10" t="s">
        <v>195</v>
      </c>
      <c r="B19" s="11">
        <v>700</v>
      </c>
      <c r="C19" s="15" t="s">
        <v>414</v>
      </c>
      <c r="D19" s="13">
        <f>146.61432+173.262+209.375+167.543+3.20568</f>
        <v>700</v>
      </c>
      <c r="E19" s="13">
        <f t="shared" si="2"/>
        <v>0</v>
      </c>
      <c r="F19" s="13">
        <f t="shared" si="1"/>
        <v>100</v>
      </c>
      <c r="G19" s="14">
        <f t="shared" si="3"/>
        <v>700</v>
      </c>
      <c r="H19" s="14">
        <f t="shared" si="4"/>
        <v>0</v>
      </c>
      <c r="I19" s="13"/>
      <c r="J19" s="13"/>
      <c r="K19" s="13"/>
      <c r="L19" s="13"/>
      <c r="M19" s="13"/>
      <c r="N19" s="13"/>
      <c r="O19" s="13"/>
      <c r="P19" s="13">
        <f>146.61432+173.262+209.375+167.543+3.20568</f>
        <v>700</v>
      </c>
      <c r="S19">
        <v>173.262</v>
      </c>
      <c r="T19" s="25">
        <v>209.375</v>
      </c>
      <c r="U19">
        <v>167.543</v>
      </c>
      <c r="V19">
        <v>3.20568</v>
      </c>
      <c r="W19">
        <v>6967943.2</v>
      </c>
    </row>
    <row r="20" ht="32" customHeight="1" spans="1:20">
      <c r="A20" s="10" t="s">
        <v>150</v>
      </c>
      <c r="B20" s="11">
        <v>606</v>
      </c>
      <c r="C20" s="15" t="s">
        <v>143</v>
      </c>
      <c r="D20" s="13">
        <v>606</v>
      </c>
      <c r="E20" s="13">
        <f t="shared" si="2"/>
        <v>0</v>
      </c>
      <c r="F20" s="13">
        <f t="shared" si="1"/>
        <v>100</v>
      </c>
      <c r="G20" s="14">
        <f t="shared" si="3"/>
        <v>606</v>
      </c>
      <c r="H20" s="14">
        <f t="shared" si="4"/>
        <v>606</v>
      </c>
      <c r="I20" s="13"/>
      <c r="J20" s="13">
        <v>606</v>
      </c>
      <c r="K20" s="13"/>
      <c r="L20" s="13"/>
      <c r="M20" s="13"/>
      <c r="N20" s="13"/>
      <c r="O20" s="13"/>
      <c r="P20" s="13"/>
      <c r="T20" s="24"/>
    </row>
  </sheetData>
  <autoFilter ref="A1:P20">
    <extLst/>
  </autoFilter>
  <mergeCells count="15">
    <mergeCell ref="A1:T1"/>
    <mergeCell ref="C2:K2"/>
    <mergeCell ref="O2:P2"/>
    <mergeCell ref="G3:P3"/>
    <mergeCell ref="H4:N4"/>
    <mergeCell ref="A3:A5"/>
    <mergeCell ref="B3:B5"/>
    <mergeCell ref="C3:C5"/>
    <mergeCell ref="D3:D5"/>
    <mergeCell ref="E3:E5"/>
    <mergeCell ref="F3:F5"/>
    <mergeCell ref="G4:G5"/>
    <mergeCell ref="O4:O5"/>
    <mergeCell ref="P4:P5"/>
    <mergeCell ref="T3:T5"/>
  </mergeCells>
  <pageMargins left="0.609027777777778" right="0.354166666666667" top="0.393055555555556" bottom="0.196527777777778" header="0.511805555555556" footer="0.511805555555556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分乡镇</vt:lpstr>
      <vt:lpstr>分部门</vt:lpstr>
      <vt:lpstr>Sheet3</vt:lpstr>
      <vt:lpstr>Sheet1</vt:lpstr>
      <vt:lpstr>5.31</vt:lpstr>
      <vt:lpstr>6.15</vt:lpstr>
      <vt:lpstr>Sheet2</vt:lpstr>
      <vt:lpstr>Sheet4</vt:lpstr>
      <vt:lpstr>Sheet5</vt:lpstr>
      <vt:lpstr>Sheet6</vt:lpstr>
      <vt:lpstr>6.25</vt:lpstr>
      <vt:lpstr>6.26</vt:lpstr>
      <vt:lpstr>6.27</vt:lpstr>
      <vt:lpstr>6.27-2</vt:lpstr>
      <vt:lpstr>6.28</vt:lpstr>
      <vt:lpstr>3.19</vt:lpstr>
      <vt:lpstr>4.29</vt:lpstr>
      <vt:lpstr>5.17</vt:lpstr>
      <vt:lpstr>5.20</vt:lpstr>
      <vt:lpstr>5.21</vt:lpstr>
      <vt:lpstr>5.28</vt:lpstr>
      <vt:lpstr>5.30</vt:lpstr>
      <vt:lpstr>6.14</vt:lpstr>
      <vt:lpstr>7.9</vt:lpstr>
      <vt:lpstr>7.11</vt:lpstr>
      <vt:lpstr>7.17</vt:lpstr>
      <vt:lpstr>8.2</vt:lpstr>
      <vt:lpstr>8.8</vt:lpstr>
      <vt:lpstr>8.13</vt:lpstr>
      <vt:lpstr>8.22</vt:lpstr>
      <vt:lpstr>9.18</vt:lpstr>
      <vt:lpstr>东西部协作资金</vt:lpstr>
      <vt:lpstr>财政专项扶贫12.5 (2)</vt:lpstr>
      <vt:lpstr>整合涉农资金12.5 (3)</vt:lpstr>
      <vt:lpstr>总表12月 (2)</vt:lpstr>
      <vt:lpstr>3月31日（2021年）</vt:lpstr>
      <vt:lpstr>Sheet7</vt:lpstr>
      <vt:lpstr>宁县2022年度财政衔接补助资金项目完成情况</vt:lpstr>
      <vt:lpstr>9月 (明细)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漫</cp:lastModifiedBy>
  <dcterms:created xsi:type="dcterms:W3CDTF">2008-09-11T17:22:00Z</dcterms:created>
  <cp:lastPrinted>2019-03-22T01:40:00Z</cp:lastPrinted>
  <dcterms:modified xsi:type="dcterms:W3CDTF">2022-12-22T09:14:52Z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A57ECFEEDB8F41049C3DF8089EF36DCE</vt:lpwstr>
  </property>
</Properties>
</file>